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acbb6f2e500e4119" /></Relationships>
</file>

<file path=xl/workbook.xml><?xml version="1.0" encoding="utf-8"?>
<x:workbook xmlns:x="http://schemas.openxmlformats.org/spreadsheetml/2006/main">
  <x:sheets>
    <x:sheet xmlns:r="http://schemas.openxmlformats.org/officeDocument/2006/relationships" name="Executive Summary" sheetId="1" r:id="Re6946334fdc241e2"/>
    <x:sheet xmlns:r="http://schemas.openxmlformats.org/officeDocument/2006/relationships" name="Public Financial Summary" sheetId="2" r:id="R5feee20011264c85"/>
    <x:sheet xmlns:r="http://schemas.openxmlformats.org/officeDocument/2006/relationships" name="Read Me" sheetId="3" r:id="Rd4a741da92a8407f"/>
    <x:sheet xmlns:r="http://schemas.openxmlformats.org/officeDocument/2006/relationships" name="Completion Gate" sheetId="4" r:id="R455fdf76903b4815"/>
    <x:sheet xmlns:r="http://schemas.openxmlformats.org/officeDocument/2006/relationships" name="Metric Index" sheetId="5" r:id="R30b16434d32f4738"/>
    <x:sheet xmlns:r="http://schemas.openxmlformats.org/officeDocument/2006/relationships" name="Core Model Checksum" sheetId="6" r:id="R8c92e082fd17403f"/>
    <x:sheet xmlns:r="http://schemas.openxmlformats.org/officeDocument/2006/relationships" name="Source Register" sheetId="7" r:id="R2e7b9d0ca31347f0"/>
    <x:sheet xmlns:r="http://schemas.openxmlformats.org/officeDocument/2006/relationships" name="Assumptions" sheetId="8" r:id="Rce4807360a984b61"/>
    <x:sheet xmlns:r="http://schemas.openxmlformats.org/officeDocument/2006/relationships" name="Stage 0 - Year 0" sheetId="9" r:id="Rdafea848a3f246d5"/>
    <x:sheet xmlns:r="http://schemas.openxmlformats.org/officeDocument/2006/relationships" name="Stage 1 - Pilot" sheetId="10" r:id="R9bd39a3f649547db"/>
    <x:sheet xmlns:r="http://schemas.openxmlformats.org/officeDocument/2006/relationships" name="Stage 2 - National" sheetId="11" r:id="Ra1248018040c4c90"/>
    <x:sheet xmlns:r="http://schemas.openxmlformats.org/officeDocument/2006/relationships" name="Benefits &amp; BCR" sheetId="12" r:id="Rcb9010058ff54eb8"/>
    <x:sheet xmlns:r="http://schemas.openxmlformats.org/officeDocument/2006/relationships" name="Validation Log" sheetId="13" r:id="R0ce4bdb265844a93"/>
    <x:sheet xmlns:r="http://schemas.openxmlformats.org/officeDocument/2006/relationships" name="Learning Capital &amp; ROI" sheetId="14" r:id="Rb5bfce31314744b6"/>
    <x:sheet xmlns:r="http://schemas.openxmlformats.org/officeDocument/2006/relationships" name="Cohort Bridge" sheetId="15" r:id="Ra76cc9815bed43eb"/>
    <x:sheet xmlns:r="http://schemas.openxmlformats.org/officeDocument/2006/relationships" name="Justice Sensitivity" sheetId="16" r:id="R444eb453316d4b48"/>
    <x:sheet xmlns:r="http://schemas.openxmlformats.org/officeDocument/2006/relationships" name="Delivery Scenarios" sheetId="17" r:id="Re4c3d3081b864a51"/>
    <x:sheet xmlns:r="http://schemas.openxmlformats.org/officeDocument/2006/relationships" name="Human Capital &amp; Earnings" sheetId="18" r:id="R530f4bef2d504a38"/>
    <x:sheet xmlns:r="http://schemas.openxmlformats.org/officeDocument/2006/relationships" name="Stage-Gate Tests" sheetId="19" r:id="R222844bc0ffe44bb"/>
    <x:sheet xmlns:r="http://schemas.openxmlformats.org/officeDocument/2006/relationships" name="Earnings Uplift Bridge" sheetId="20" r:id="R1a55ef744b204c31"/>
    <x:sheet xmlns:r="http://schemas.openxmlformats.org/officeDocument/2006/relationships" name="Website Data Export" sheetId="21" r:id="R0305a1712f894af7"/>
  </x:sheets>
</x:workbook>
</file>

<file path=xl/sharedStrings.xml><?xml version="1.0" encoding="utf-8"?>
<x:sst xmlns:x="http://schemas.openxmlformats.org/spreadsheetml/2006/main"/>
</file>

<file path=xl/styles.xml><?xml version="1.0" encoding="utf-8"?>
<x:styleSheet xmlns:x="http://schemas.openxmlformats.org/spreadsheetml/2006/main">
  <x:numFmts count="24">
    <x:numFmt numFmtId="200" formatCode="#,##0;[Red](#,##0);-"/>
    <x:numFmt numFmtId="201" formatCode="0.00x"/>
    <x:numFmt numFmtId="202" formatCode="0.0%;[Red](0.0%);-"/>
    <x:numFmt numFmtId="203" formatCode="$#,##0;[Red]($#,##0);-"/>
    <x:numFmt numFmtId="204" formatCode="0.0x;[Red](0.0x);-"/>
    <x:numFmt numFmtId="205" formatCode="$0.0,,&quot;m&quot;;[Red]($0.0,,&quot;m&quot;);-"/>
    <x:numFmt numFmtId="206" formatCode="0.0000x"/>
    <x:numFmt numFmtId="207" formatCode="0.00x;[Red](0.00x);-"/>
    <x:numFmt numFmtId="208" formatCode="0.00%;[Red](0.00%);-"/>
    <x:numFmt numFmtId="209" formatCode="#,##0.0;[Red](#,##0.0);-"/>
    <x:numFmt numFmtId="210" formatCode="0.000x"/>
    <x:numFmt numFmtId="211" formatCode="$0.00"/>
    <x:numFmt numFmtId="212" formatCode="$#,##0.0;[Red]($#,##0.0);-"/>
    <x:numFmt numFmtId="213" formatCode="0.0%"/>
    <x:numFmt numFmtId="214" formatCode="0.000%"/>
    <x:numFmt numFmtId="215" formatCode="#,##0.0"/>
    <x:numFmt numFmtId="216" formatCode="0%"/>
    <x:numFmt numFmtId="217" formatCode="#,##0"/>
    <x:numFmt numFmtId="218" formatCode="0.00%"/>
    <x:numFmt numFmtId="219" formatCode="#,##0.0000"/>
    <x:numFmt numFmtId="220" formatCode="0.0000%"/>
    <x:numFmt numFmtId="221" formatCode="$0.0;[Red]($0.0);-"/>
    <x:numFmt numFmtId="222" formatCode="yyyy-mm-dd"/>
    <x:numFmt numFmtId="223" formatCode="0.000%;[Red](0.000%);-"/>
  </x:numFmts>
  <x:fonts count="43">
    <x:font>
      <x:sz val="11"/>
      <x:name val="Carlito"/>
    </x:font>
    <x:font>
      <x:b/>
      <x:sz val="18"/>
      <x:color rgb="FFFFFFFF"/>
      <x:name val="Carlito"/>
    </x:font>
    <x:font>
      <x:i/>
      <x:sz val="10"/>
      <x:color rgb="FF666666"/>
      <x:name val="Carlito"/>
    </x:font>
    <x:font>
      <x:b/>
      <x:sz val="10"/>
      <x:color rgb="FFFFFFFF"/>
      <x:name val="Carlito"/>
    </x:font>
    <x:font>
      <x:b/>
      <x:sz val="11"/>
      <x:color rgb="FF0000FF"/>
      <x:name val="Carlito"/>
    </x:font>
    <x:font>
      <x:sz val="11"/>
      <x:color rgb="FF0000FF"/>
      <x:name val="Carlito"/>
    </x:font>
    <x:font>
      <x:b/>
      <x:sz val="11"/>
      <x:color rgb="FF174C43"/>
      <x:name val="Carlito"/>
    </x:font>
    <x:font>
      <x:b/>
      <x:sz val="11"/>
      <x:color rgb="FFFFFFFF"/>
      <x:name val="Carlito"/>
    </x:font>
    <x:font>
      <x:b/>
      <x:sz val="11"/>
      <x:color rgb="FF000000"/>
      <x:name val="Carlito"/>
    </x:font>
    <x:font>
      <x:sz val="11"/>
      <x:color rgb="FF000000"/>
      <x:name val="Carlito"/>
    </x:font>
    <x:font>
      <x:b/>
      <x:sz val="11"/>
      <x:name val="Carlito"/>
    </x:font>
    <x:font>
      <x:sz val="11"/>
      <x:color rgb="FF008000"/>
      <x:name val="Carlito"/>
    </x:font>
    <x:font>
      <x:b/>
      <x:sz val="11"/>
      <x:color rgb="FF18324A"/>
      <x:name val="Carlito"/>
    </x:font>
    <x:font>
      <x:b/>
      <x:sz val="11"/>
      <x:color rgb="FFC00000"/>
      <x:name val="Carlito"/>
    </x:font>
    <x:font>
      <x:b/>
      <x:sz val="11"/>
      <x:color rgb="FF008000"/>
      <x:name val="Carlito"/>
    </x:font>
    <x:font>
      <x:b/>
      <x:sz val="12"/>
      <x:color rgb="FF174C43"/>
      <x:name val="Carlito"/>
    </x:font>
    <x:font>
      <x:sz val="11"/>
      <x:color rgb="FF174C43"/>
      <x:name val="Carlito"/>
    </x:font>
    <x:font>
      <x:i/>
      <x:sz val="11"/>
      <x:color rgb="FF666666"/>
      <x:name val="Carlito"/>
    </x:font>
    <x:font>
      <x:sz val="11"/>
      <x:color rgb="FFC00000"/>
      <x:name val="Carlito"/>
    </x:font>
    <x:font>
      <x:sz val="10"/>
      <x:color rgb="FF174C43"/>
      <x:name val="Carlito"/>
    </x:font>
    <x:font>
      <x:b/>
      <x:sz val="10"/>
      <x:color rgb="FF174C43"/>
      <x:name val="Carlito"/>
    </x:font>
    <x:font>
      <x:b/>
      <x:sz val="10"/>
      <x:color rgb="FF008000"/>
      <x:name val="Carlito"/>
    </x:font>
    <x:font>
      <x:b/>
      <x:sz val="9"/>
      <x:color rgb="FFFFFFFF"/>
      <x:name val="Carlito"/>
    </x:font>
    <x:font>
      <x:b/>
      <x:sz val="13"/>
      <x:color rgb="FFFFFFFF"/>
      <x:name val="Carlito"/>
    </x:font>
    <x:font>
      <x:b/>
      <x:sz val="11"/>
      <x:color rgb="FF9C0006"/>
      <x:name val="Carlito"/>
    </x:font>
    <x:font>
      <x:b/>
      <x:sz val="15"/>
      <x:color rgb="FFFFFFFF"/>
      <x:name val="Carlito"/>
    </x:font>
    <x:font>
      <x:b/>
      <x:sz val="11"/>
      <x:color rgb="FF006100"/>
      <x:name val="Carlito"/>
    </x:font>
    <x:font>
      <x:b/>
      <x:sz val="11"/>
      <x:color rgb="FF9C6500"/>
      <x:name val="Carlito"/>
    </x:font>
    <x:font>
      <x:b/>
      <x:sz val="16"/>
      <x:color rgb="FFFFFFFF"/>
      <x:name val="Carlito"/>
    </x:font>
    <x:font>
      <x:i/>
      <x:sz val="11"/>
      <x:name val="Carlito"/>
    </x:font>
    <x:font>
      <x:b/>
      <x:sz val="11"/>
      <x:color rgb="FF17365D"/>
      <x:name val="Carlito"/>
    </x:font>
    <x:font>
      <x:b/>
      <x:sz val="12"/>
      <x:color rgb="FFFFFFFF"/>
      <x:name val="Carlito"/>
    </x:font>
    <x:font>
      <x:sz val="11"/>
      <x:name val="Carlito"/>
    </x:font>
    <x:font>
      <x:sz val="9"/>
      <x:name val="Carlito"/>
    </x:font>
    <x:font>
      <x:b/>
      <x:sz val="9"/>
      <x:color rgb="FF17365D"/>
      <x:name val="Carlito"/>
    </x:font>
    <x:font>
      <x:sz val="9"/>
      <x:name val="Carlito"/>
    </x:font>
    <x:font>
      <x:sz val="9"/>
      <x:color rgb="FF008000"/>
      <x:name val="Carlito"/>
    </x:font>
    <x:font>
      <x:b/>
      <x:sz val="9"/>
      <x:name val="Carlito"/>
    </x:font>
    <x:font>
      <x:sz val="9"/>
      <x:name val="Carlito"/>
    </x:font>
    <x:font>
      <x:b/>
      <x:sz val="9"/>
      <x:color rgb="FF9C6500"/>
      <x:name val="Carlito"/>
    </x:font>
    <x:font>
      <x:b/>
      <x:sz val="14"/>
      <x:color rgb="FFFFFFFF"/>
      <x:name val="Carlito"/>
    </x:font>
    <x:font>
      <x:sz val="9"/>
      <x:color rgb="FF1F1F1F"/>
      <x:name val="Carlito"/>
    </x:font>
    <x:font>
      <x:sz val="11"/>
      <x:color rgb="FF1F1F1F"/>
      <x:name val="Carlito"/>
    </x:font>
  </x:fonts>
  <x:fills count="61">
    <x:fill>
      <x:patternFill patternType="none"/>
    </x:fill>
    <x:fill>
      <x:patternFill patternType="gray125"/>
    </x:fill>
    <x:fill>
      <x:patternFill patternType="solid">
        <x:fgColor rgb="FF174C43"/>
      </x:patternFill>
    </x:fill>
    <x:fill>
      <x:patternFill patternType="solid">
        <x:fgColor rgb="FFEAF3EF"/>
      </x:patternFill>
    </x:fill>
    <x:fill>
      <x:patternFill patternType="solid">
        <x:fgColor rgb="FFFFF2CC"/>
      </x:patternFill>
    </x:fill>
    <x:fill>
      <x:patternFill patternType="solid">
        <x:fgColor rgb="FFDCEDEA"/>
      </x:patternFill>
    </x:fill>
    <x:fill>
      <x:patternFill patternType="solid">
        <x:fgColor rgb="FF2E7D6B"/>
      </x:patternFill>
    </x:fill>
    <x:fill>
      <x:patternFill patternType="solid">
        <x:fgColor rgb="FFF8EAC2"/>
      </x:patternFill>
    </x:fill>
    <x:fill>
      <x:patternFill patternType="solid">
        <x:fgColor rgb="FFE7E6E6"/>
      </x:patternFill>
    </x:fill>
    <x:fill>
      <x:patternFill patternType="solid">
        <x:fgColor rgb="FFE6B94A"/>
      </x:patternFill>
    </x:fill>
    <x:fill>
      <x:patternFill patternType="solid">
        <x:fgColor rgb="FFDCE6F1"/>
      </x:patternFill>
    </x:fill>
    <x:fill>
      <x:patternFill patternType="solid">
        <x:fgColor rgb="FFF4CCCC"/>
      </x:patternFill>
    </x:fill>
    <x:fill>
      <x:patternFill patternType="solid">
        <x:fgColor rgb="FF18324A"/>
      </x:patternFill>
    </x:fill>
    <x:fill>
      <x:patternFill patternType="solid">
        <x:fgColor rgb="FFFFF2CC"/>
      </x:patternFill>
    </x:fill>
    <x:fill>
      <x:patternFill patternType="solid">
        <x:fgColor rgb="FFDCEDEA"/>
      </x:patternFill>
    </x:fill>
    <x:fill>
      <x:patternFill patternType="solid">
        <x:fgColor rgb="FF2E7D6B"/>
      </x:patternFill>
    </x:fill>
    <x:fill>
      <x:patternFill patternType="solid">
        <x:fgColor rgb="FFF8EAC2"/>
      </x:patternFill>
    </x:fill>
    <x:fill>
      <x:patternFill patternType="solid">
        <x:fgColor rgb="FF174C43"/>
      </x:patternFill>
    </x:fill>
    <x:fill>
      <x:patternFill patternType="solid">
        <x:fgColor rgb="FFEAF3EF"/>
      </x:patternFill>
    </x:fill>
    <x:fill>
      <x:patternFill patternType="solid">
        <x:fgColor rgb="FFE6B94A"/>
      </x:patternFill>
    </x:fill>
    <x:fill>
      <x:patternFill patternType="solid">
        <x:fgColor rgb="FFF4CCCC"/>
      </x:patternFill>
    </x:fill>
    <x:fill>
      <x:patternFill patternType="solid">
        <x:fgColor rgb="FF18324A"/>
      </x:patternFill>
    </x:fill>
    <x:fill>
      <x:patternFill patternType="solid">
        <x:fgColor rgb="FF174C43"/>
      </x:patternFill>
    </x:fill>
    <x:fill>
      <x:patternFill patternType="solid">
        <x:fgColor rgb="FFEAF3EF"/>
      </x:patternFill>
    </x:fill>
    <x:fill>
      <x:patternFill patternType="solid">
        <x:fgColor rgb="FF2E7D6B"/>
      </x:patternFill>
    </x:fill>
    <x:fill>
      <x:patternFill patternType="solid">
        <x:fgColor rgb="FFF4CCCC"/>
      </x:patternFill>
    </x:fill>
    <x:fill>
      <x:patternFill patternType="solid">
        <x:fgColor rgb="FFE6B94A"/>
      </x:patternFill>
    </x:fill>
    <x:fill>
      <x:patternFill patternType="solid">
        <x:fgColor rgb="FFDCEDEA"/>
      </x:patternFill>
    </x:fill>
    <x:fill>
      <x:patternFill patternType="solid">
        <x:fgColor rgb="FF18324A"/>
      </x:patternFill>
    </x:fill>
    <x:fill>
      <x:patternFill patternType="solid">
        <x:fgColor rgb="FFFFF2CC"/>
      </x:patternFill>
    </x:fill>
    <x:fill>
      <x:patternFill patternType="solid">
        <x:fgColor rgb="FFF8EAC2"/>
      </x:patternFill>
    </x:fill>
    <x:fill>
      <x:patternFill patternType="solid">
        <x:fgColor rgb="FFFFF2CC"/>
      </x:patternFill>
    </x:fill>
    <x:fill>
      <x:patternFill patternType="solid">
        <x:fgColor rgb="FFDCEDEA"/>
      </x:patternFill>
    </x:fill>
    <x:fill>
      <x:patternFill patternType="solid">
        <x:fgColor rgb="FF174C43"/>
      </x:patternFill>
    </x:fill>
    <x:fill>
      <x:patternFill patternType="solid">
        <x:fgColor rgb="FFEAF3EF"/>
      </x:patternFill>
    </x:fill>
    <x:fill>
      <x:patternFill patternType="solid">
        <x:fgColor rgb="FF2E7D6B"/>
      </x:patternFill>
    </x:fill>
    <x:fill>
      <x:patternFill patternType="solid">
        <x:fgColor rgb="FFF8EAC2"/>
      </x:patternFill>
    </x:fill>
    <x:fill>
      <x:patternFill patternType="solid">
        <x:fgColor rgb="FFE6B94A"/>
      </x:patternFill>
    </x:fill>
    <x:fill>
      <x:patternFill patternType="solid">
        <x:fgColor rgb="FF2F7585"/>
      </x:patternFill>
    </x:fill>
    <x:fill>
      <x:patternFill patternType="solid">
        <x:fgColor rgb="FF17365D"/>
      </x:patternFill>
    </x:fill>
    <x:fill>
      <x:patternFill patternType="solid">
        <x:fgColor rgb="FFFCE4D6"/>
      </x:patternFill>
    </x:fill>
    <x:fill>
      <x:patternFill patternType="solid">
        <x:fgColor rgb="FFDDEBF7"/>
      </x:patternFill>
    </x:fill>
    <x:fill>
      <x:patternFill patternType="solid">
        <x:fgColor rgb="FFFFFFFF"/>
      </x:patternFill>
    </x:fill>
    <x:fill>
      <x:patternFill patternType="solid">
        <x:fgColor rgb="FFFFF2CC"/>
      </x:patternFill>
    </x:fill>
    <x:fill>
      <x:patternFill patternType="solid">
        <x:fgColor rgb="FF17365D"/>
      </x:patternFill>
    </x:fill>
    <x:fill>
      <x:patternFill patternType="solid">
        <x:fgColor rgb="FFDDEBF7"/>
      </x:patternFill>
    </x:fill>
    <x:fill>
      <x:patternFill patternType="solid">
        <x:fgColor rgb="FF2F7585"/>
      </x:patternFill>
    </x:fill>
    <x:fill>
      <x:patternFill patternType="solid">
        <x:fgColor rgb="FFE2F0D9"/>
      </x:patternFill>
    </x:fill>
    <x:fill>
      <x:patternFill patternType="solid">
        <x:fgColor rgb="FF17365D"/>
      </x:patternFill>
    </x:fill>
    <x:fill>
      <x:patternFill patternType="solid">
        <x:fgColor rgb="FF2F7585"/>
      </x:patternFill>
    </x:fill>
    <x:fill>
      <x:patternFill patternType="solid">
        <x:fgColor rgb="FFFFF2CC"/>
      </x:patternFill>
    </x:fill>
    <x:fill>
      <x:patternFill patternType="solid">
        <x:fgColor rgb="FFFCE4D6"/>
      </x:patternFill>
    </x:fill>
    <x:fill>
      <x:patternFill patternType="solid">
        <x:fgColor rgb="FFDDEBF7"/>
      </x:patternFill>
    </x:fill>
    <x:fill>
      <x:patternFill patternType="solid">
        <x:fgColor rgb="FFE2F0D9"/>
      </x:patternFill>
    </x:fill>
    <x:fill>
      <x:patternFill patternType="solid">
        <x:fgColor rgb="FFFFFFFF"/>
      </x:patternFill>
    </x:fill>
    <x:fill>
      <x:patternFill patternType="solid">
        <x:fgColor rgb="FFFFF2CC"/>
      </x:patternFill>
    </x:fill>
    <x:fill>
      <x:patternFill patternType="solid">
        <x:fgColor rgb="FFFCE4D6"/>
      </x:patternFill>
    </x:fill>
    <x:fill>
      <x:patternFill patternType="solid">
        <x:fgColor rgb="FF2F7585"/>
      </x:patternFill>
    </x:fill>
    <x:fill>
      <x:patternFill patternType="solid">
        <x:fgColor rgb="FFFFFFFF"/>
      </x:patternFill>
    </x:fill>
    <x:fill>
      <x:patternFill patternType="solid">
        <x:fgColor rgb="FFE2F0D9"/>
      </x:patternFill>
    </x:fill>
    <x:fill>
      <x:patternFill patternType="solid">
        <x:fgColor rgb="FFFFF2CC"/>
      </x:patternFill>
    </x:fill>
  </x:fills>
  <x:borders count="2">
    <x:border/>
    <x:border/>
  </x:borders>
  <x:cellStyleXfs count="1">
    <x:xf numFmtId="0" fontId="0" fillId="0" borderId="0"/>
  </x:cellStyleXfs>
  <x:cellXfs count="1396">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left"/>
    </x:xf>
    <x:xf numFmtId="0" fontId="1" fillId="2" borderId="0" xfId="0" applyNumberFormat="1" applyFont="1" applyFill="1" applyBorder="1" applyAlignment="1">
      <x:alignment horizontal="left"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left"/>
    </x:xf>
    <x:xf numFmtId="0" fontId="1" fillId="2" borderId="1" xfId="0" applyNumberFormat="1" applyFont="1" applyFill="1" applyBorder="1" applyAlignment="1">
      <x:alignment horizontal="left"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2" fillId="3" borderId="0" xfId="0" applyNumberFormat="1" applyFont="1" applyFill="1" applyBorder="1" applyAlignment="1">
      <x:alignment vertical="center"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2" fillId="3" borderId="1" xfId="0" applyNumberFormat="1" applyFont="1" applyFill="1" applyBorder="1" applyAlignment="1">
      <x:alignment vertical="center" wrapText="1"/>
    </x:xf>
    <x:xf numFmtId="0" fontId="3" fillId="2" borderId="0" xfId="0" applyNumberFormat="1" applyFont="1" applyFill="1" applyBorder="1"/>
    <x:xf numFmtId="0" fontId="3" fillId="2" borderId="0" xfId="0" applyNumberFormat="1" applyFont="1" applyFill="1" applyBorder="1" applyAlignment="1">
      <x:alignment wrapText="1"/>
    </x:xf>
    <x:xf numFmtId="0" fontId="3" fillId="2" borderId="0" xfId="0" applyNumberFormat="1" applyFont="1" applyFill="1" applyBorder="1" applyAlignment="1">
      <x:alignment horizontal="center" wrapText="1"/>
    </x:xf>
    <x:xf numFmtId="0" fontId="3" fillId="2" borderId="0" xfId="0" applyNumberFormat="1" applyFont="1" applyFill="1" applyBorder="1" applyAlignment="1">
      <x:alignment horizontal="center" vertical="center" wrapText="1"/>
    </x:xf>
    <x:xf numFmtId="0" fontId="3" fillId="2" borderId="1" xfId="0" applyNumberFormat="1" applyFont="1" applyFill="1" applyBorder="1"/>
    <x:xf numFmtId="0" fontId="3" fillId="2" borderId="1" xfId="0" applyNumberFormat="1" applyFont="1" applyFill="1" applyBorder="1" applyAlignment="1">
      <x:alignment wrapText="1"/>
    </x:xf>
    <x:xf numFmtId="0" fontId="3" fillId="2" borderId="1" xfId="0" applyNumberFormat="1" applyFont="1" applyFill="1" applyBorder="1" applyAlignment="1">
      <x:alignment horizontal="center" wrapText="1"/>
    </x:xf>
    <x:xf numFmtId="0" fontId="3" fillId="2" borderId="1" xfId="0" applyNumberFormat="1" applyFont="1" applyFill="1" applyBorder="1" applyAlignment="1">
      <x:alignment horizontal="center" vertical="center" wrapText="1"/>
    </x:xf>
    <x:xf numFmtId="0" fontId="0" fillId="0" borderId="0" xfId="0" applyNumberFormat="1" applyFont="1" applyFill="1" applyBorder="1" applyAlignment="1">
      <x:alignment wrapText="1"/>
    </x:xf>
    <x:xf numFmtId="0" fontId="0" fillId="0" borderId="1" xfId="0" applyNumberFormat="1" applyFont="1" applyFill="1" applyBorder="1" applyAlignment="1">
      <x:alignment wrapText="1"/>
    </x:xf>
    <x:xf numFmtId="0" fontId="0" fillId="0" borderId="0" xfId="0" applyNumberFormat="1" applyFont="1" applyFill="1" applyBorder="1" applyAlignment="1">
      <x:alignment vertical="top" wrapText="1"/>
    </x:xf>
    <x:xf numFmtId="0" fontId="0" fillId="0" borderId="1" xfId="0" applyNumberFormat="1" applyFont="1" applyFill="1" applyBorder="1" applyAlignment="1">
      <x:alignment vertical="top" wrapText="1"/>
    </x:xf>
    <x:xf numFmtId="0" fontId="4" fillId="0" borderId="0" xfId="0" applyNumberFormat="1" applyFont="1" applyFill="1" applyBorder="1" applyAlignment="1">
      <x:alignment vertical="top" wrapText="1"/>
    </x:xf>
    <x:xf numFmtId="0" fontId="4" fillId="0" borderId="1" xfId="0" applyNumberFormat="1" applyFont="1" applyFill="1" applyBorder="1" applyAlignment="1">
      <x:alignment vertical="top" wrapText="1"/>
    </x:xf>
    <x:xf numFmtId="0" fontId="5" fillId="0" borderId="0" xfId="0" applyNumberFormat="1" applyFont="1" applyFill="1" applyBorder="1" applyAlignment="1">
      <x:alignment vertical="top" wrapText="1"/>
    </x:xf>
    <x:xf numFmtId="0" fontId="5" fillId="0" borderId="1" xfId="0" applyNumberFormat="1" applyFont="1" applyFill="1" applyBorder="1" applyAlignment="1">
      <x:alignment vertical="top" wrapText="1"/>
    </x:xf>
    <x:xf numFmtId="0" fontId="4" fillId="4" borderId="0" xfId="0" applyNumberFormat="1" applyFont="1" applyFill="1" applyBorder="1" applyAlignment="1">
      <x:alignment vertical="top" wrapText="1"/>
    </x:xf>
    <x:xf numFmtId="0" fontId="0" fillId="4" borderId="0" xfId="0" applyNumberFormat="1" applyFont="1" applyFill="1" applyBorder="1" applyAlignment="1">
      <x:alignment vertical="top" wrapText="1"/>
    </x:xf>
    <x:xf numFmtId="0" fontId="5" fillId="4" borderId="0" xfId="0" applyNumberFormat="1" applyFont="1" applyFill="1" applyBorder="1" applyAlignment="1">
      <x:alignment vertical="top" wrapText="1"/>
    </x:xf>
    <x:xf numFmtId="0" fontId="4" fillId="4" borderId="1" xfId="0" applyNumberFormat="1" applyFont="1" applyFill="1" applyBorder="1" applyAlignment="1">
      <x:alignment vertical="top" wrapText="1"/>
    </x:xf>
    <x:xf numFmtId="0" fontId="0" fillId="4" borderId="1" xfId="0" applyNumberFormat="1" applyFont="1" applyFill="1" applyBorder="1" applyAlignment="1">
      <x:alignment vertical="top" wrapText="1"/>
    </x:xf>
    <x:xf numFmtId="0" fontId="5" fillId="4" borderId="1" xfId="0" applyNumberFormat="1" applyFont="1" applyFill="1" applyBorder="1" applyAlignment="1">
      <x:alignment vertical="top" wrapText="1"/>
    </x:xf>
    <x:xf numFmtId="0" fontId="5" fillId="0" borderId="0" xfId="0" applyNumberFormat="1" applyFont="1" applyFill="1" applyBorder="1" applyAlignment="1">
      <x:alignment horizontal="right" vertical="top" wrapText="1"/>
    </x:xf>
    <x:xf numFmtId="0" fontId="5" fillId="0" borderId="1" xfId="0" applyNumberFormat="1" applyFont="1" applyFill="1" applyBorder="1" applyAlignment="1">
      <x:alignment horizontal="right" vertical="top" wrapText="1"/>
    </x:xf>
    <x:xf numFmtId="200" fontId="5" fillId="0" borderId="0" xfId="0" applyNumberFormat="1" applyFont="1" applyFill="1" applyBorder="1" applyAlignment="1">
      <x:alignment horizontal="right" vertical="top" wrapText="1"/>
    </x:xf>
    <x:xf numFmtId="200" fontId="5" fillId="0" borderId="1" xfId="0" applyNumberFormat="1" applyFont="1" applyFill="1" applyBorder="1" applyAlignment="1">
      <x:alignment horizontal="right" vertical="top" wrapText="1"/>
    </x:xf>
    <x:xf numFmtId="201" fontId="5" fillId="0" borderId="0" xfId="0" applyNumberFormat="1" applyFont="1" applyFill="1" applyBorder="1" applyAlignment="1">
      <x:alignment horizontal="right" vertical="top" wrapText="1"/>
    </x:xf>
    <x:xf numFmtId="201" fontId="5" fillId="0" borderId="1" xfId="0" applyNumberFormat="1" applyFont="1" applyFill="1" applyBorder="1" applyAlignment="1">
      <x:alignment horizontal="right" vertical="top" wrapText="1"/>
    </x:xf>
    <x:xf numFmtId="202" fontId="5" fillId="0" borderId="0" xfId="0" applyNumberFormat="1" applyFont="1" applyFill="1" applyBorder="1" applyAlignment="1">
      <x:alignment horizontal="right" vertical="top" wrapText="1"/>
    </x:xf>
    <x:xf numFmtId="202" fontId="5" fillId="0" borderId="1" xfId="0" applyNumberFormat="1" applyFont="1" applyFill="1" applyBorder="1" applyAlignment="1">
      <x:alignment horizontal="right" vertical="top" wrapText="1"/>
    </x:xf>
    <x:xf numFmtId="203" fontId="5" fillId="0" borderId="0" xfId="0" applyNumberFormat="1" applyFont="1" applyFill="1" applyBorder="1" applyAlignment="1">
      <x:alignment horizontal="right" vertical="top" wrapText="1"/>
    </x:xf>
    <x:xf numFmtId="203" fontId="5" fillId="0" borderId="1" xfId="0" applyNumberFormat="1" applyFont="1" applyFill="1" applyBorder="1" applyAlignment="1">
      <x:alignment horizontal="right" vertical="top" wrapText="1"/>
    </x:xf>
    <x:xf numFmtId="201" fontId="5" fillId="4" borderId="0" xfId="0" applyNumberFormat="1" applyFont="1" applyFill="1" applyBorder="1" applyAlignment="1">
      <x:alignment horizontal="right" vertical="top" wrapText="1"/>
    </x:xf>
    <x:xf numFmtId="201" fontId="5" fillId="4" borderId="1" xfId="0" applyNumberFormat="1" applyFont="1" applyFill="1" applyBorder="1" applyAlignment="1">
      <x:alignment horizontal="right" vertical="top" wrapText="1"/>
    </x:xf>
    <x:xf numFmtId="200" fontId="5" fillId="4" borderId="0" xfId="0" applyNumberFormat="1" applyFont="1" applyFill="1" applyBorder="1" applyAlignment="1">
      <x:alignment horizontal="right" vertical="top" wrapText="1"/>
    </x:xf>
    <x:xf numFmtId="200" fontId="5" fillId="4" borderId="1" xfId="0" applyNumberFormat="1" applyFont="1" applyFill="1" applyBorder="1" applyAlignment="1">
      <x:alignment horizontal="right" vertical="top" wrapText="1"/>
    </x:xf>
    <x:xf numFmtId="202" fontId="5" fillId="4" borderId="0" xfId="0" applyNumberFormat="1" applyFont="1" applyFill="1" applyBorder="1" applyAlignment="1">
      <x:alignment horizontal="right" vertical="top" wrapText="1"/>
    </x:xf>
    <x:xf numFmtId="202" fontId="5" fillId="4" borderId="1" xfId="0" applyNumberFormat="1" applyFont="1" applyFill="1" applyBorder="1" applyAlignment="1">
      <x:alignment horizontal="right" vertical="top" wrapText="1"/>
    </x:xf>
    <x:xf numFmtId="0" fontId="5" fillId="4" borderId="0" xfId="0" applyNumberFormat="1" applyFont="1" applyFill="1" applyBorder="1" applyAlignment="1">
      <x:alignment horizontal="right" vertical="top" wrapText="1"/>
    </x:xf>
    <x:xf numFmtId="0" fontId="5" fillId="4" borderId="1" xfId="0" applyNumberFormat="1" applyFont="1" applyFill="1" applyBorder="1" applyAlignment="1">
      <x:alignment horizontal="right" vertical="top" wrapText="1"/>
    </x:xf>
    <x:xf numFmtId="0" fontId="0" fillId="5" borderId="0" xfId="0" applyNumberFormat="1" applyFont="1" applyFill="1" applyBorder="1" applyAlignment="1">
      <x:alignment vertical="top" wrapText="1"/>
    </x:xf>
    <x:xf numFmtId="200" fontId="5" fillId="5" borderId="0" xfId="0" applyNumberFormat="1" applyFont="1" applyFill="1" applyBorder="1" applyAlignment="1">
      <x:alignment horizontal="right" vertical="top" wrapText="1"/>
    </x:xf>
    <x:xf numFmtId="0" fontId="0" fillId="5" borderId="1" xfId="0" applyNumberFormat="1" applyFont="1" applyFill="1" applyBorder="1" applyAlignment="1">
      <x:alignment vertical="top" wrapText="1"/>
    </x:xf>
    <x:xf numFmtId="200" fontId="5" fillId="5" borderId="1" xfId="0" applyNumberFormat="1" applyFont="1" applyFill="1" applyBorder="1" applyAlignment="1">
      <x:alignment horizontal="right" vertical="top" wrapText="1"/>
    </x:xf>
    <x:xf numFmtId="0" fontId="6" fillId="5" borderId="0" xfId="0" applyNumberFormat="1" applyFont="1" applyFill="1" applyBorder="1" applyAlignment="1">
      <x:alignment vertical="top" wrapText="1"/>
    </x:xf>
    <x:xf numFmtId="0" fontId="6" fillId="5" borderId="1" xfId="0" applyNumberFormat="1" applyFont="1" applyFill="1" applyBorder="1" applyAlignment="1">
      <x:alignment vertical="top" wrapText="1"/>
    </x:xf>
    <x:xf numFmtId="203" fontId="5" fillId="5" borderId="0" xfId="0" applyNumberFormat="1" applyFont="1" applyFill="1" applyBorder="1" applyAlignment="1">
      <x:alignment horizontal="right" vertical="top" wrapText="1"/>
    </x:xf>
    <x:xf numFmtId="203" fontId="5" fillId="5" borderId="1" xfId="0" applyNumberFormat="1" applyFont="1" applyFill="1" applyBorder="1" applyAlignment="1">
      <x:alignment horizontal="right" vertical="top" wrapText="1"/>
    </x:xf>
    <x:xf numFmtId="0" fontId="0" fillId="6" borderId="0" xfId="0" applyNumberFormat="1" applyFont="1" applyFill="1" applyBorder="1"/>
    <x:xf numFmtId="0" fontId="7" fillId="6" borderId="0" xfId="0" applyNumberFormat="1" applyFont="1" applyFill="1" applyBorder="1"/>
    <x:xf numFmtId="0" fontId="7" fillId="6" borderId="0" xfId="0" applyNumberFormat="1" applyFont="1" applyFill="1" applyBorder="1" applyAlignment="1">
      <x:alignment horizontal="left"/>
    </x:xf>
    <x:xf numFmtId="0" fontId="7" fillId="6" borderId="0" xfId="0" applyNumberFormat="1" applyFont="1" applyFill="1" applyBorder="1" applyAlignment="1">
      <x:alignment horizontal="left" vertical="center"/>
    </x:xf>
    <x:xf numFmtId="0" fontId="0" fillId="6" borderId="1" xfId="0" applyNumberFormat="1" applyFont="1" applyFill="1" applyBorder="1"/>
    <x:xf numFmtId="0" fontId="7" fillId="6" borderId="1" xfId="0" applyNumberFormat="1" applyFont="1" applyFill="1" applyBorder="1"/>
    <x:xf numFmtId="0" fontId="7" fillId="6" borderId="1" xfId="0" applyNumberFormat="1" applyFont="1" applyFill="1" applyBorder="1" applyAlignment="1">
      <x:alignment horizontal="left"/>
    </x:xf>
    <x:xf numFmtId="0" fontId="7" fillId="6" borderId="1" xfId="0" applyNumberFormat="1" applyFont="1" applyFill="1" applyBorder="1" applyAlignment="1">
      <x:alignment horizontal="left" vertical="center"/>
    </x:xf>
    <x:xf numFmtId="0" fontId="0" fillId="7" borderId="0" xfId="0" applyNumberFormat="1" applyFont="1" applyFill="1" applyBorder="1"/>
    <x:xf numFmtId="0" fontId="8" fillId="7" borderId="0" xfId="0" applyNumberFormat="1" applyFont="1" applyFill="1" applyBorder="1"/>
    <x:xf numFmtId="0" fontId="8" fillId="7" borderId="0" xfId="0" applyNumberFormat="1" applyFont="1" applyFill="1" applyBorder="1" applyAlignment="1">
      <x:alignment vertical="center"/>
    </x:xf>
    <x:xf numFmtId="0" fontId="0" fillId="7" borderId="1" xfId="0" applyNumberFormat="1" applyFont="1" applyFill="1" applyBorder="1"/>
    <x:xf numFmtId="0" fontId="8" fillId="7" borderId="1" xfId="0" applyNumberFormat="1" applyFont="1" applyFill="1" applyBorder="1"/>
    <x:xf numFmtId="0" fontId="8" fillId="7" borderId="1" xfId="0" applyNumberFormat="1" applyFont="1" applyFill="1" applyBorder="1" applyAlignment="1">
      <x:alignment vertical="center"/>
    </x:xf>
    <x:xf numFmtId="0" fontId="0" fillId="8" borderId="0" xfId="0" applyNumberFormat="1" applyFont="1" applyFill="1" applyBorder="1"/>
    <x:xf numFmtId="0" fontId="8" fillId="8" borderId="0" xfId="0" applyNumberFormat="1" applyFont="1" applyFill="1" applyBorder="1"/>
    <x:xf numFmtId="0" fontId="8" fillId="8" borderId="0" xfId="0" applyNumberFormat="1" applyFont="1" applyFill="1" applyBorder="1" applyAlignment="1">
      <x:alignment vertical="center"/>
    </x:xf>
    <x:xf numFmtId="0" fontId="0" fillId="8" borderId="1" xfId="0" applyNumberFormat="1" applyFont="1" applyFill="1" applyBorder="1"/>
    <x:xf numFmtId="0" fontId="8" fillId="8" borderId="1" xfId="0" applyNumberFormat="1" applyFont="1" applyFill="1" applyBorder="1"/>
    <x:xf numFmtId="0" fontId="8" fillId="8" borderId="1" xfId="0" applyNumberFormat="1" applyFont="1" applyFill="1" applyBorder="1" applyAlignment="1">
      <x:alignment vertical="center"/>
    </x:xf>
    <x:xf numFmtId="0" fontId="0" fillId="9" borderId="0" xfId="0" applyNumberFormat="1" applyFont="1" applyFill="1" applyBorder="1"/>
    <x:xf numFmtId="0" fontId="8" fillId="9" borderId="0" xfId="0" applyNumberFormat="1" applyFont="1" applyFill="1" applyBorder="1"/>
    <x:xf numFmtId="0" fontId="8" fillId="9" borderId="0" xfId="0" applyNumberFormat="1" applyFont="1" applyFill="1" applyBorder="1" applyAlignment="1">
      <x:alignment vertical="center"/>
    </x:xf>
    <x:xf numFmtId="0" fontId="0" fillId="9" borderId="1" xfId="0" applyNumberFormat="1" applyFont="1" applyFill="1" applyBorder="1"/>
    <x:xf numFmtId="0" fontId="8" fillId="9" borderId="1" xfId="0" applyNumberFormat="1" applyFont="1" applyFill="1" applyBorder="1"/>
    <x:xf numFmtId="0" fontId="8" fillId="9" borderId="1" xfId="0" applyNumberFormat="1" applyFont="1" applyFill="1" applyBorder="1" applyAlignment="1">
      <x:alignment vertical="center"/>
    </x:xf>
    <x:xf numFmtId="0" fontId="7" fillId="6" borderId="0" xfId="0" applyNumberFormat="1" applyFont="1" applyFill="1" applyBorder="1" applyAlignment="1">
      <x:alignment horizontal="left" vertical="center" wrapText="1"/>
    </x:xf>
    <x:xf numFmtId="0" fontId="8" fillId="7" borderId="0" xfId="0" applyNumberFormat="1" applyFont="1" applyFill="1" applyBorder="1" applyAlignment="1">
      <x:alignment vertical="center" wrapText="1"/>
    </x:xf>
    <x:xf numFmtId="0" fontId="8" fillId="8" borderId="0" xfId="0" applyNumberFormat="1" applyFont="1" applyFill="1" applyBorder="1" applyAlignment="1">
      <x:alignment vertical="center" wrapText="1"/>
    </x:xf>
    <x:xf numFmtId="0" fontId="8" fillId="9" borderId="0" xfId="0" applyNumberFormat="1" applyFont="1" applyFill="1" applyBorder="1" applyAlignment="1">
      <x:alignment vertical="center" wrapText="1"/>
    </x:xf>
    <x:xf numFmtId="0" fontId="7" fillId="6" borderId="1" xfId="0" applyNumberFormat="1" applyFont="1" applyFill="1" applyBorder="1" applyAlignment="1">
      <x:alignment horizontal="left" vertical="center" wrapText="1"/>
    </x:xf>
    <x:xf numFmtId="0" fontId="8" fillId="7" borderId="1" xfId="0" applyNumberFormat="1" applyFont="1" applyFill="1" applyBorder="1" applyAlignment="1">
      <x:alignment vertical="center" wrapText="1"/>
    </x:xf>
    <x:xf numFmtId="0" fontId="8" fillId="8" borderId="1" xfId="0" applyNumberFormat="1" applyFont="1" applyFill="1" applyBorder="1" applyAlignment="1">
      <x:alignment vertical="center" wrapText="1"/>
    </x:xf>
    <x:xf numFmtId="0" fontId="8" fillId="9" borderId="1" xfId="0" applyNumberFormat="1" applyFont="1" applyFill="1" applyBorder="1" applyAlignment="1">
      <x:alignment vertical="center" wrapText="1"/>
    </x:xf>
    <x:xf numFmtId="0" fontId="7" fillId="6" borderId="0" xfId="0" applyNumberFormat="1" applyFont="1" applyFill="1" applyBorder="1" applyAlignment="1">
      <x:alignment horizontal="right" vertical="center" wrapText="1"/>
    </x:xf>
    <x:xf numFmtId="0" fontId="0" fillId="0" borderId="0" xfId="0" applyNumberFormat="1" applyFont="1" applyFill="1" applyBorder="1" applyAlignment="1">
      <x:alignment horizontal="right" wrapText="1"/>
    </x:xf>
    <x:xf numFmtId="0" fontId="8" fillId="7" borderId="0" xfId="0" applyNumberFormat="1" applyFont="1" applyFill="1" applyBorder="1" applyAlignment="1">
      <x:alignment horizontal="right" vertical="center" wrapText="1"/>
    </x:xf>
    <x:xf numFmtId="0" fontId="8" fillId="8" borderId="0" xfId="0" applyNumberFormat="1" applyFont="1" applyFill="1" applyBorder="1" applyAlignment="1">
      <x:alignment horizontal="right" vertical="center" wrapText="1"/>
    </x:xf>
    <x:xf numFmtId="0" fontId="8" fillId="9" borderId="0" xfId="0" applyNumberFormat="1" applyFont="1" applyFill="1" applyBorder="1" applyAlignment="1">
      <x:alignment horizontal="right" vertical="center" wrapText="1"/>
    </x:xf>
    <x:xf numFmtId="0" fontId="7" fillId="6" borderId="1" xfId="0" applyNumberFormat="1" applyFont="1" applyFill="1" applyBorder="1" applyAlignment="1">
      <x:alignment horizontal="right" vertical="center" wrapText="1"/>
    </x:xf>
    <x:xf numFmtId="0" fontId="0" fillId="0" borderId="1" xfId="0" applyNumberFormat="1" applyFont="1" applyFill="1" applyBorder="1" applyAlignment="1">
      <x:alignment horizontal="right" wrapText="1"/>
    </x:xf>
    <x:xf numFmtId="0" fontId="8" fillId="7" borderId="1" xfId="0" applyNumberFormat="1" applyFont="1" applyFill="1" applyBorder="1" applyAlignment="1">
      <x:alignment horizontal="right" vertical="center" wrapText="1"/>
    </x:xf>
    <x:xf numFmtId="0" fontId="8" fillId="8" borderId="1" xfId="0" applyNumberFormat="1" applyFont="1" applyFill="1" applyBorder="1" applyAlignment="1">
      <x:alignment horizontal="right" vertical="center" wrapText="1"/>
    </x:xf>
    <x:xf numFmtId="0" fontId="8" fillId="9" borderId="1" xfId="0" applyNumberFormat="1" applyFont="1" applyFill="1" applyBorder="1" applyAlignment="1">
      <x:alignment horizontal="right" vertical="center" wrapText="1"/>
    </x:xf>
    <x:xf numFmtId="203" fontId="7" fillId="6" borderId="0" xfId="0" applyNumberFormat="1" applyFont="1" applyFill="1" applyBorder="1" applyAlignment="1">
      <x:alignment horizontal="right" vertical="center" wrapText="1"/>
    </x:xf>
    <x:xf numFmtId="203" fontId="0" fillId="0" borderId="0" xfId="0" applyNumberFormat="1" applyFont="1" applyFill="1" applyBorder="1" applyAlignment="1">
      <x:alignment horizontal="right" wrapText="1"/>
    </x:xf>
    <x:xf numFmtId="203" fontId="8" fillId="7" borderId="0" xfId="0" applyNumberFormat="1" applyFont="1" applyFill="1" applyBorder="1" applyAlignment="1">
      <x:alignment horizontal="right" vertical="center" wrapText="1"/>
    </x:xf>
    <x:xf numFmtId="203" fontId="8" fillId="8" borderId="0" xfId="0" applyNumberFormat="1" applyFont="1" applyFill="1" applyBorder="1" applyAlignment="1">
      <x:alignment horizontal="right" vertical="center" wrapText="1"/>
    </x:xf>
    <x:xf numFmtId="203" fontId="8" fillId="9" borderId="0" xfId="0" applyNumberFormat="1" applyFont="1" applyFill="1" applyBorder="1" applyAlignment="1">
      <x:alignment horizontal="right" vertical="center" wrapText="1"/>
    </x:xf>
    <x:xf numFmtId="203" fontId="7" fillId="6" borderId="1" xfId="0" applyNumberFormat="1" applyFont="1" applyFill="1" applyBorder="1" applyAlignment="1">
      <x:alignment horizontal="right" vertical="center" wrapText="1"/>
    </x:xf>
    <x:xf numFmtId="203" fontId="0" fillId="0" borderId="1" xfId="0" applyNumberFormat="1" applyFont="1" applyFill="1" applyBorder="1" applyAlignment="1">
      <x:alignment horizontal="right" wrapText="1"/>
    </x:xf>
    <x:xf numFmtId="203" fontId="8" fillId="7" borderId="1" xfId="0" applyNumberFormat="1" applyFont="1" applyFill="1" applyBorder="1" applyAlignment="1">
      <x:alignment horizontal="right" vertical="center" wrapText="1"/>
    </x:xf>
    <x:xf numFmtId="203" fontId="8" fillId="8" borderId="1" xfId="0" applyNumberFormat="1" applyFont="1" applyFill="1" applyBorder="1" applyAlignment="1">
      <x:alignment horizontal="right" vertical="center" wrapText="1"/>
    </x:xf>
    <x:xf numFmtId="203" fontId="8" fillId="9" borderId="1" xfId="0" applyNumberFormat="1" applyFont="1" applyFill="1" applyBorder="1" applyAlignment="1">
      <x:alignment horizontal="right" vertical="center" wrapText="1"/>
    </x:xf>
    <x:xf numFmtId="0" fontId="4" fillId="6" borderId="0" xfId="0" applyNumberFormat="1" applyFont="1" applyFill="1" applyBorder="1" applyAlignment="1">
      <x:alignment horizontal="right" vertical="center" wrapText="1"/>
    </x:xf>
    <x:xf numFmtId="203" fontId="4" fillId="6" borderId="0" xfId="0" applyNumberFormat="1" applyFont="1" applyFill="1" applyBorder="1" applyAlignment="1">
      <x:alignment horizontal="right" vertical="center" wrapText="1"/>
    </x:xf>
    <x:xf numFmtId="0" fontId="5" fillId="0" borderId="0" xfId="0" applyNumberFormat="1" applyFont="1" applyFill="1" applyBorder="1" applyAlignment="1">
      <x:alignment horizontal="right" wrapText="1"/>
    </x:xf>
    <x:xf numFmtId="203" fontId="5" fillId="0" borderId="0" xfId="0" applyNumberFormat="1" applyFont="1" applyFill="1" applyBorder="1" applyAlignment="1">
      <x:alignment horizontal="right" wrapText="1"/>
    </x:xf>
    <x:xf numFmtId="0" fontId="4" fillId="7" borderId="0" xfId="0" applyNumberFormat="1" applyFont="1" applyFill="1" applyBorder="1" applyAlignment="1">
      <x:alignment horizontal="right" vertical="center" wrapText="1"/>
    </x:xf>
    <x:xf numFmtId="203" fontId="4" fillId="7" borderId="0" xfId="0" applyNumberFormat="1" applyFont="1" applyFill="1" applyBorder="1" applyAlignment="1">
      <x:alignment horizontal="right" vertical="center" wrapText="1"/>
    </x:xf>
    <x:xf numFmtId="0" fontId="4" fillId="8" borderId="0" xfId="0" applyNumberFormat="1" applyFont="1" applyFill="1" applyBorder="1" applyAlignment="1">
      <x:alignment horizontal="right" vertical="center" wrapText="1"/>
    </x:xf>
    <x:xf numFmtId="203" fontId="4" fillId="8" borderId="0" xfId="0" applyNumberFormat="1" applyFont="1" applyFill="1" applyBorder="1" applyAlignment="1">
      <x:alignment horizontal="right" vertical="center" wrapText="1"/>
    </x:xf>
    <x:xf numFmtId="0" fontId="4" fillId="9" borderId="0" xfId="0" applyNumberFormat="1" applyFont="1" applyFill="1" applyBorder="1" applyAlignment="1">
      <x:alignment horizontal="right" vertical="center" wrapText="1"/>
    </x:xf>
    <x:xf numFmtId="203" fontId="4" fillId="9" borderId="0" xfId="0" applyNumberFormat="1" applyFont="1" applyFill="1" applyBorder="1" applyAlignment="1">
      <x:alignment horizontal="right" vertical="center" wrapText="1"/>
    </x:xf>
    <x:xf numFmtId="0" fontId="4" fillId="6" borderId="1" xfId="0" applyNumberFormat="1" applyFont="1" applyFill="1" applyBorder="1" applyAlignment="1">
      <x:alignment horizontal="right" vertical="center" wrapText="1"/>
    </x:xf>
    <x:xf numFmtId="203" fontId="4" fillId="6" borderId="1" xfId="0" applyNumberFormat="1" applyFont="1" applyFill="1" applyBorder="1" applyAlignment="1">
      <x:alignment horizontal="right" vertical="center" wrapText="1"/>
    </x:xf>
    <x:xf numFmtId="0" fontId="5" fillId="0" borderId="1" xfId="0" applyNumberFormat="1" applyFont="1" applyFill="1" applyBorder="1" applyAlignment="1">
      <x:alignment horizontal="right" wrapText="1"/>
    </x:xf>
    <x:xf numFmtId="203" fontId="5" fillId="0" borderId="1" xfId="0" applyNumberFormat="1" applyFont="1" applyFill="1" applyBorder="1" applyAlignment="1">
      <x:alignment horizontal="right" wrapText="1"/>
    </x:xf>
    <x:xf numFmtId="0" fontId="4" fillId="7" borderId="1" xfId="0" applyNumberFormat="1" applyFont="1" applyFill="1" applyBorder="1" applyAlignment="1">
      <x:alignment horizontal="right" vertical="center" wrapText="1"/>
    </x:xf>
    <x:xf numFmtId="203" fontId="4" fillId="7" borderId="1" xfId="0" applyNumberFormat="1" applyFont="1" applyFill="1" applyBorder="1" applyAlignment="1">
      <x:alignment horizontal="right" vertical="center" wrapText="1"/>
    </x:xf>
    <x:xf numFmtId="0" fontId="4" fillId="8" borderId="1" xfId="0" applyNumberFormat="1" applyFont="1" applyFill="1" applyBorder="1" applyAlignment="1">
      <x:alignment horizontal="right" vertical="center" wrapText="1"/>
    </x:xf>
    <x:xf numFmtId="203" fontId="4" fillId="8" borderId="1" xfId="0" applyNumberFormat="1" applyFont="1" applyFill="1" applyBorder="1" applyAlignment="1">
      <x:alignment horizontal="right" vertical="center" wrapText="1"/>
    </x:xf>
    <x:xf numFmtId="0" fontId="4" fillId="9" borderId="1" xfId="0" applyNumberFormat="1" applyFont="1" applyFill="1" applyBorder="1" applyAlignment="1">
      <x:alignment horizontal="right" vertical="center" wrapText="1"/>
    </x:xf>
    <x:xf numFmtId="203" fontId="4" fillId="9" borderId="1" xfId="0" applyNumberFormat="1" applyFont="1" applyFill="1" applyBorder="1" applyAlignment="1">
      <x:alignment horizontal="right" vertical="center" wrapText="1"/>
    </x:xf>
    <x:xf numFmtId="203" fontId="8" fillId="6" borderId="0" xfId="0" applyNumberFormat="1" applyFont="1" applyFill="1" applyBorder="1" applyAlignment="1">
      <x:alignment horizontal="right" vertical="center" wrapText="1"/>
    </x:xf>
    <x:xf numFmtId="203" fontId="9" fillId="0" borderId="0" xfId="0" applyNumberFormat="1" applyFont="1" applyFill="1" applyBorder="1" applyAlignment="1">
      <x:alignment horizontal="right" wrapText="1"/>
    </x:xf>
    <x:xf numFmtId="203" fontId="8" fillId="6" borderId="1" xfId="0" applyNumberFormat="1" applyFont="1" applyFill="1" applyBorder="1" applyAlignment="1">
      <x:alignment horizontal="right" vertical="center" wrapText="1"/>
    </x:xf>
    <x:xf numFmtId="203" fontId="9" fillId="0" borderId="1" xfId="0" applyNumberFormat="1" applyFont="1" applyFill="1" applyBorder="1" applyAlignment="1">
      <x:alignment horizontal="right" wrapText="1"/>
    </x:xf>
    <x:xf numFmtId="203" fontId="5" fillId="4" borderId="0" xfId="0" applyNumberFormat="1" applyFont="1" applyFill="1" applyBorder="1" applyAlignment="1">
      <x:alignment horizontal="right" wrapText="1"/>
    </x:xf>
    <x:xf numFmtId="203" fontId="9" fillId="4" borderId="0" xfId="0" applyNumberFormat="1" applyFont="1" applyFill="1" applyBorder="1" applyAlignment="1">
      <x:alignment horizontal="right" wrapText="1"/>
    </x:xf>
    <x:xf numFmtId="0" fontId="0" fillId="4" borderId="0" xfId="0" applyNumberFormat="1" applyFont="1" applyFill="1" applyBorder="1" applyAlignment="1">
      <x:alignment wrapText="1"/>
    </x:xf>
    <x:xf numFmtId="203" fontId="5" fillId="4" borderId="1" xfId="0" applyNumberFormat="1" applyFont="1" applyFill="1" applyBorder="1" applyAlignment="1">
      <x:alignment horizontal="right" wrapText="1"/>
    </x:xf>
    <x:xf numFmtId="203" fontId="9" fillId="4" borderId="1" xfId="0" applyNumberFormat="1" applyFont="1" applyFill="1" applyBorder="1" applyAlignment="1">
      <x:alignment horizontal="right" wrapText="1"/>
    </x:xf>
    <x:xf numFmtId="0" fontId="0" fillId="4" borderId="1" xfId="0" applyNumberFormat="1" applyFont="1" applyFill="1" applyBorder="1" applyAlignment="1">
      <x:alignment wrapText="1"/>
    </x:xf>
    <x:xf numFmtId="0" fontId="6" fillId="7" borderId="0" xfId="0" applyNumberFormat="1" applyFont="1" applyFill="1" applyBorder="1"/>
    <x:xf numFmtId="0" fontId="6" fillId="7" borderId="0" xfId="0" applyNumberFormat="1" applyFont="1" applyFill="1" applyBorder="1" applyAlignment="1">
      <x:alignment wrapText="1"/>
    </x:xf>
    <x:xf numFmtId="0" fontId="6" fillId="7" borderId="0" xfId="0" applyNumberFormat="1" applyFont="1" applyFill="1" applyBorder="1" applyAlignment="1">
      <x:alignment vertical="center" wrapText="1"/>
    </x:xf>
    <x:xf numFmtId="0" fontId="6" fillId="7" borderId="1" xfId="0" applyNumberFormat="1" applyFont="1" applyFill="1" applyBorder="1"/>
    <x:xf numFmtId="0" fontId="6" fillId="7" borderId="1" xfId="0" applyNumberFormat="1" applyFont="1" applyFill="1" applyBorder="1" applyAlignment="1">
      <x:alignment wrapText="1"/>
    </x:xf>
    <x:xf numFmtId="0" fontId="6" fillId="7" borderId="1" xfId="0" applyNumberFormat="1" applyFont="1" applyFill="1" applyBorder="1" applyAlignment="1">
      <x:alignment vertical="center" wrapText="1"/>
    </x:xf>
    <x:xf numFmtId="0" fontId="10" fillId="0" borderId="0" xfId="0" applyNumberFormat="1" applyFont="1" applyFill="1" applyBorder="1"/>
    <x:xf numFmtId="0" fontId="10" fillId="0" borderId="1" xfId="0" applyNumberFormat="1" applyFont="1" applyFill="1" applyBorder="1"/>
    <x:xf numFmtId="203" fontId="0" fillId="0" borderId="0" xfId="0" applyNumberFormat="1" applyFont="1" applyFill="1" applyBorder="1"/>
    <x:xf numFmtId="203" fontId="0" fillId="0" borderId="1" xfId="0" applyNumberFormat="1" applyFont="1" applyFill="1" applyBorder="1"/>
    <x:xf numFmtId="203" fontId="11" fillId="0" borderId="0" xfId="0" applyNumberFormat="1" applyFont="1" applyFill="1" applyBorder="1"/>
    <x:xf numFmtId="203" fontId="11" fillId="0" borderId="1" xfId="0" applyNumberFormat="1" applyFont="1" applyFill="1" applyBorder="1"/>
    <x:xf numFmtId="0" fontId="10" fillId="5" borderId="0" xfId="0" applyNumberFormat="1" applyFont="1" applyFill="1" applyBorder="1"/>
    <x:xf numFmtId="203" fontId="11" fillId="5" borderId="0" xfId="0" applyNumberFormat="1" applyFont="1" applyFill="1" applyBorder="1"/>
    <x:xf numFmtId="0" fontId="10" fillId="5" borderId="1" xfId="0" applyNumberFormat="1" applyFont="1" applyFill="1" applyBorder="1"/>
    <x:xf numFmtId="203" fontId="11" fillId="5" borderId="1" xfId="0" applyNumberFormat="1" applyFont="1" applyFill="1" applyBorder="1"/>
    <x:xf numFmtId="0" fontId="10" fillId="0" borderId="0" xfId="0" applyNumberFormat="1" applyFont="1" applyFill="1" applyBorder="1" applyAlignment="1">
      <x:alignment wrapText="1"/>
    </x:xf>
    <x:xf numFmtId="203" fontId="11" fillId="0" borderId="0" xfId="0" applyNumberFormat="1" applyFont="1" applyFill="1" applyBorder="1" applyAlignment="1">
      <x:alignment wrapText="1"/>
    </x:xf>
    <x:xf numFmtId="0" fontId="10" fillId="5" borderId="0" xfId="0" applyNumberFormat="1" applyFont="1" applyFill="1" applyBorder="1" applyAlignment="1">
      <x:alignment wrapText="1"/>
    </x:xf>
    <x:xf numFmtId="203" fontId="11" fillId="5" borderId="0" xfId="0" applyNumberFormat="1" applyFont="1" applyFill="1" applyBorder="1" applyAlignment="1">
      <x:alignment wrapText="1"/>
    </x:xf>
    <x:xf numFmtId="0" fontId="10" fillId="0" borderId="1" xfId="0" applyNumberFormat="1" applyFont="1" applyFill="1" applyBorder="1" applyAlignment="1">
      <x:alignment wrapText="1"/>
    </x:xf>
    <x:xf numFmtId="203" fontId="11" fillId="0" borderId="1" xfId="0" applyNumberFormat="1" applyFont="1" applyFill="1" applyBorder="1" applyAlignment="1">
      <x:alignment wrapText="1"/>
    </x:xf>
    <x:xf numFmtId="0" fontId="10" fillId="5" borderId="1" xfId="0" applyNumberFormat="1" applyFont="1" applyFill="1" applyBorder="1" applyAlignment="1">
      <x:alignment wrapText="1"/>
    </x:xf>
    <x:xf numFmtId="203" fontId="11" fillId="5" borderId="1" xfId="0" applyNumberFormat="1" applyFont="1" applyFill="1" applyBorder="1" applyAlignment="1">
      <x:alignment wrapText="1"/>
    </x:xf>
    <x:xf numFmtId="203" fontId="7" fillId="6" borderId="0" xfId="0" applyNumberFormat="1" applyFont="1" applyFill="1" applyBorder="1" applyAlignment="1">
      <x:alignment horizontal="left" vertical="center" wrapText="1"/>
    </x:xf>
    <x:xf numFmtId="203" fontId="0" fillId="0" borderId="0" xfId="0" applyNumberFormat="1" applyFont="1" applyFill="1" applyBorder="1" applyAlignment="1">
      <x:alignment wrapText="1"/>
    </x:xf>
    <x:xf numFmtId="203" fontId="8" fillId="7" borderId="0" xfId="0" applyNumberFormat="1" applyFont="1" applyFill="1" applyBorder="1" applyAlignment="1">
      <x:alignment vertical="center" wrapText="1"/>
    </x:xf>
    <x:xf numFmtId="203" fontId="8" fillId="8" borderId="0" xfId="0" applyNumberFormat="1" applyFont="1" applyFill="1" applyBorder="1" applyAlignment="1">
      <x:alignment vertical="center" wrapText="1"/>
    </x:xf>
    <x:xf numFmtId="203" fontId="8" fillId="9" borderId="0" xfId="0" applyNumberFormat="1" applyFont="1" applyFill="1" applyBorder="1" applyAlignment="1">
      <x:alignment vertical="center" wrapText="1"/>
    </x:xf>
    <x:xf numFmtId="203" fontId="7" fillId="6" borderId="1" xfId="0" applyNumberFormat="1" applyFont="1" applyFill="1" applyBorder="1" applyAlignment="1">
      <x:alignment horizontal="left" vertical="center" wrapText="1"/>
    </x:xf>
    <x:xf numFmtId="203" fontId="0" fillId="0" borderId="1" xfId="0" applyNumberFormat="1" applyFont="1" applyFill="1" applyBorder="1" applyAlignment="1">
      <x:alignment wrapText="1"/>
    </x:xf>
    <x:xf numFmtId="203" fontId="8" fillId="7" borderId="1" xfId="0" applyNumberFormat="1" applyFont="1" applyFill="1" applyBorder="1" applyAlignment="1">
      <x:alignment vertical="center" wrapText="1"/>
    </x:xf>
    <x:xf numFmtId="203" fontId="8" fillId="8" borderId="1" xfId="0" applyNumberFormat="1" applyFont="1" applyFill="1" applyBorder="1" applyAlignment="1">
      <x:alignment vertical="center" wrapText="1"/>
    </x:xf>
    <x:xf numFmtId="203" fontId="8" fillId="9" borderId="1" xfId="0" applyNumberFormat="1" applyFont="1" applyFill="1" applyBorder="1" applyAlignment="1">
      <x:alignment vertical="center" wrapText="1"/>
    </x:xf>
    <x:xf numFmtId="202" fontId="7" fillId="6" borderId="0" xfId="0" applyNumberFormat="1" applyFont="1" applyFill="1" applyBorder="1" applyAlignment="1">
      <x:alignment horizontal="left" vertical="center" wrapText="1"/>
    </x:xf>
    <x:xf numFmtId="202" fontId="0" fillId="0" borderId="0" xfId="0" applyNumberFormat="1" applyFont="1" applyFill="1" applyBorder="1" applyAlignment="1">
      <x:alignment wrapText="1"/>
    </x:xf>
    <x:xf numFmtId="202" fontId="8" fillId="7" borderId="0" xfId="0" applyNumberFormat="1" applyFont="1" applyFill="1" applyBorder="1" applyAlignment="1">
      <x:alignment vertical="center" wrapText="1"/>
    </x:xf>
    <x:xf numFmtId="202" fontId="8" fillId="8" borderId="0" xfId="0" applyNumberFormat="1" applyFont="1" applyFill="1" applyBorder="1" applyAlignment="1">
      <x:alignment vertical="center" wrapText="1"/>
    </x:xf>
    <x:xf numFmtId="202" fontId="8" fillId="9" borderId="0" xfId="0" applyNumberFormat="1" applyFont="1" applyFill="1" applyBorder="1" applyAlignment="1">
      <x:alignment vertical="center" wrapText="1"/>
    </x:xf>
    <x:xf numFmtId="202" fontId="7" fillId="6" borderId="1" xfId="0" applyNumberFormat="1" applyFont="1" applyFill="1" applyBorder="1" applyAlignment="1">
      <x:alignment horizontal="left" vertical="center" wrapText="1"/>
    </x:xf>
    <x:xf numFmtId="202" fontId="0" fillId="0" borderId="1" xfId="0" applyNumberFormat="1" applyFont="1" applyFill="1" applyBorder="1" applyAlignment="1">
      <x:alignment wrapText="1"/>
    </x:xf>
    <x:xf numFmtId="202" fontId="8" fillId="7" borderId="1" xfId="0" applyNumberFormat="1" applyFont="1" applyFill="1" applyBorder="1" applyAlignment="1">
      <x:alignment vertical="center" wrapText="1"/>
    </x:xf>
    <x:xf numFmtId="202" fontId="8" fillId="8" borderId="1" xfId="0" applyNumberFormat="1" applyFont="1" applyFill="1" applyBorder="1" applyAlignment="1">
      <x:alignment vertical="center" wrapText="1"/>
    </x:xf>
    <x:xf numFmtId="202" fontId="8" fillId="9" borderId="1" xfId="0" applyNumberFormat="1" applyFont="1" applyFill="1" applyBorder="1" applyAlignment="1">
      <x:alignment vertical="center" wrapText="1"/>
    </x:xf>
    <x:xf numFmtId="0" fontId="4" fillId="6" borderId="0" xfId="0" applyNumberFormat="1" applyFont="1" applyFill="1" applyBorder="1" applyAlignment="1">
      <x:alignment horizontal="left" vertical="center" wrapText="1"/>
    </x:xf>
    <x:xf numFmtId="203" fontId="4" fillId="6" borderId="0" xfId="0" applyNumberFormat="1" applyFont="1" applyFill="1" applyBorder="1" applyAlignment="1">
      <x:alignment horizontal="left" vertical="center" wrapText="1"/>
    </x:xf>
    <x:xf numFmtId="202" fontId="4" fillId="6" borderId="0" xfId="0" applyNumberFormat="1" applyFont="1" applyFill="1" applyBorder="1" applyAlignment="1">
      <x:alignment horizontal="left" vertical="center" wrapText="1"/>
    </x:xf>
    <x:xf numFmtId="0" fontId="5" fillId="0" borderId="0" xfId="0" applyNumberFormat="1" applyFont="1" applyFill="1" applyBorder="1" applyAlignment="1">
      <x:alignment wrapText="1"/>
    </x:xf>
    <x:xf numFmtId="203" fontId="5" fillId="0" borderId="0" xfId="0" applyNumberFormat="1" applyFont="1" applyFill="1" applyBorder="1" applyAlignment="1">
      <x:alignment wrapText="1"/>
    </x:xf>
    <x:xf numFmtId="202" fontId="5" fillId="0" borderId="0" xfId="0" applyNumberFormat="1" applyFont="1" applyFill="1" applyBorder="1" applyAlignment="1">
      <x:alignment wrapText="1"/>
    </x:xf>
    <x:xf numFmtId="0" fontId="4" fillId="7" borderId="0" xfId="0" applyNumberFormat="1" applyFont="1" applyFill="1" applyBorder="1" applyAlignment="1">
      <x:alignment vertical="center" wrapText="1"/>
    </x:xf>
    <x:xf numFmtId="203" fontId="4" fillId="7" borderId="0" xfId="0" applyNumberFormat="1" applyFont="1" applyFill="1" applyBorder="1" applyAlignment="1">
      <x:alignment vertical="center" wrapText="1"/>
    </x:xf>
    <x:xf numFmtId="202" fontId="4" fillId="7" borderId="0" xfId="0" applyNumberFormat="1" applyFont="1" applyFill="1" applyBorder="1" applyAlignment="1">
      <x:alignment vertical="center" wrapText="1"/>
    </x:xf>
    <x:xf numFmtId="0" fontId="4" fillId="8" borderId="0" xfId="0" applyNumberFormat="1" applyFont="1" applyFill="1" applyBorder="1" applyAlignment="1">
      <x:alignment vertical="center" wrapText="1"/>
    </x:xf>
    <x:xf numFmtId="203" fontId="4" fillId="8" borderId="0" xfId="0" applyNumberFormat="1" applyFont="1" applyFill="1" applyBorder="1" applyAlignment="1">
      <x:alignment vertical="center" wrapText="1"/>
    </x:xf>
    <x:xf numFmtId="202" fontId="4" fillId="8" borderId="0" xfId="0" applyNumberFormat="1" applyFont="1" applyFill="1" applyBorder="1" applyAlignment="1">
      <x:alignment vertical="center" wrapText="1"/>
    </x:xf>
    <x:xf numFmtId="0" fontId="4" fillId="9" borderId="0" xfId="0" applyNumberFormat="1" applyFont="1" applyFill="1" applyBorder="1" applyAlignment="1">
      <x:alignment vertical="center" wrapText="1"/>
    </x:xf>
    <x:xf numFmtId="203" fontId="4" fillId="9" borderId="0" xfId="0" applyNumberFormat="1" applyFont="1" applyFill="1" applyBorder="1" applyAlignment="1">
      <x:alignment vertical="center" wrapText="1"/>
    </x:xf>
    <x:xf numFmtId="202" fontId="4" fillId="9" borderId="0" xfId="0" applyNumberFormat="1" applyFont="1" applyFill="1" applyBorder="1" applyAlignment="1">
      <x:alignment vertical="center" wrapText="1"/>
    </x:xf>
    <x:xf numFmtId="0" fontId="4" fillId="6" borderId="1" xfId="0" applyNumberFormat="1" applyFont="1" applyFill="1" applyBorder="1" applyAlignment="1">
      <x:alignment horizontal="left" vertical="center" wrapText="1"/>
    </x:xf>
    <x:xf numFmtId="203" fontId="4" fillId="6" borderId="1" xfId="0" applyNumberFormat="1" applyFont="1" applyFill="1" applyBorder="1" applyAlignment="1">
      <x:alignment horizontal="left" vertical="center" wrapText="1"/>
    </x:xf>
    <x:xf numFmtId="202" fontId="4" fillId="6" borderId="1" xfId="0" applyNumberFormat="1" applyFont="1" applyFill="1" applyBorder="1" applyAlignment="1">
      <x:alignment horizontal="left" vertical="center" wrapText="1"/>
    </x:xf>
    <x:xf numFmtId="0" fontId="5" fillId="0" borderId="1" xfId="0" applyNumberFormat="1" applyFont="1" applyFill="1" applyBorder="1" applyAlignment="1">
      <x:alignment wrapText="1"/>
    </x:xf>
    <x:xf numFmtId="203" fontId="5" fillId="0" borderId="1" xfId="0" applyNumberFormat="1" applyFont="1" applyFill="1" applyBorder="1" applyAlignment="1">
      <x:alignment wrapText="1"/>
    </x:xf>
    <x:xf numFmtId="202" fontId="5" fillId="0" borderId="1" xfId="0" applyNumberFormat="1" applyFont="1" applyFill="1" applyBorder="1" applyAlignment="1">
      <x:alignment wrapText="1"/>
    </x:xf>
    <x:xf numFmtId="0" fontId="4" fillId="7" borderId="1" xfId="0" applyNumberFormat="1" applyFont="1" applyFill="1" applyBorder="1" applyAlignment="1">
      <x:alignment vertical="center" wrapText="1"/>
    </x:xf>
    <x:xf numFmtId="203" fontId="4" fillId="7" borderId="1" xfId="0" applyNumberFormat="1" applyFont="1" applyFill="1" applyBorder="1" applyAlignment="1">
      <x:alignment vertical="center" wrapText="1"/>
    </x:xf>
    <x:xf numFmtId="202" fontId="4" fillId="7" borderId="1" xfId="0" applyNumberFormat="1" applyFont="1" applyFill="1" applyBorder="1" applyAlignment="1">
      <x:alignment vertical="center" wrapText="1"/>
    </x:xf>
    <x:xf numFmtId="0" fontId="4" fillId="8" borderId="1" xfId="0" applyNumberFormat="1" applyFont="1" applyFill="1" applyBorder="1" applyAlignment="1">
      <x:alignment vertical="center" wrapText="1"/>
    </x:xf>
    <x:xf numFmtId="203" fontId="4" fillId="8" borderId="1" xfId="0" applyNumberFormat="1" applyFont="1" applyFill="1" applyBorder="1" applyAlignment="1">
      <x:alignment vertical="center" wrapText="1"/>
    </x:xf>
    <x:xf numFmtId="202" fontId="4" fillId="8" borderId="1" xfId="0" applyNumberFormat="1" applyFont="1" applyFill="1" applyBorder="1" applyAlignment="1">
      <x:alignment vertical="center" wrapText="1"/>
    </x:xf>
    <x:xf numFmtId="0" fontId="4" fillId="9" borderId="1" xfId="0" applyNumberFormat="1" applyFont="1" applyFill="1" applyBorder="1" applyAlignment="1">
      <x:alignment vertical="center" wrapText="1"/>
    </x:xf>
    <x:xf numFmtId="203" fontId="4" fillId="9" borderId="1" xfId="0" applyNumberFormat="1" applyFont="1" applyFill="1" applyBorder="1" applyAlignment="1">
      <x:alignment vertical="center" wrapText="1"/>
    </x:xf>
    <x:xf numFmtId="202" fontId="4" fillId="9" borderId="1" xfId="0" applyNumberFormat="1" applyFont="1" applyFill="1" applyBorder="1" applyAlignment="1">
      <x:alignment vertical="center" wrapText="1"/>
    </x:xf>
    <x:xf numFmtId="203" fontId="8" fillId="6" borderId="0" xfId="0" applyNumberFormat="1" applyFont="1" applyFill="1" applyBorder="1" applyAlignment="1">
      <x:alignment horizontal="left" vertical="center" wrapText="1"/>
    </x:xf>
    <x:xf numFmtId="203" fontId="9" fillId="0" borderId="0" xfId="0" applyNumberFormat="1" applyFont="1" applyFill="1" applyBorder="1" applyAlignment="1">
      <x:alignment wrapText="1"/>
    </x:xf>
    <x:xf numFmtId="203" fontId="8" fillId="6" borderId="1" xfId="0" applyNumberFormat="1" applyFont="1" applyFill="1" applyBorder="1" applyAlignment="1">
      <x:alignment horizontal="left" vertical="center" wrapText="1"/>
    </x:xf>
    <x:xf numFmtId="203" fontId="9" fillId="0" borderId="1" xfId="0" applyNumberFormat="1" applyFont="1" applyFill="1" applyBorder="1" applyAlignment="1">
      <x:alignment wrapText="1"/>
    </x:xf>
    <x:xf numFmtId="203" fontId="5" fillId="4" borderId="0" xfId="0" applyNumberFormat="1" applyFont="1" applyFill="1" applyBorder="1" applyAlignment="1">
      <x:alignment wrapText="1"/>
    </x:xf>
    <x:xf numFmtId="202" fontId="5" fillId="4" borderId="0" xfId="0" applyNumberFormat="1" applyFont="1" applyFill="1" applyBorder="1" applyAlignment="1">
      <x:alignment wrapText="1"/>
    </x:xf>
    <x:xf numFmtId="203" fontId="9" fillId="4" borderId="0" xfId="0" applyNumberFormat="1" applyFont="1" applyFill="1" applyBorder="1" applyAlignment="1">
      <x:alignment wrapText="1"/>
    </x:xf>
    <x:xf numFmtId="203" fontId="5" fillId="4" borderId="1" xfId="0" applyNumberFormat="1" applyFont="1" applyFill="1" applyBorder="1" applyAlignment="1">
      <x:alignment wrapText="1"/>
    </x:xf>
    <x:xf numFmtId="202" fontId="5" fillId="4" borderId="1" xfId="0" applyNumberFormat="1" applyFont="1" applyFill="1" applyBorder="1" applyAlignment="1">
      <x:alignment wrapText="1"/>
    </x:xf>
    <x:xf numFmtId="203" fontId="9" fillId="4" borderId="1" xfId="0" applyNumberFormat="1" applyFont="1" applyFill="1" applyBorder="1" applyAlignment="1">
      <x:alignment wrapText="1"/>
    </x:xf>
    <x:xf numFmtId="0" fontId="0" fillId="10" borderId="0" xfId="0" applyNumberFormat="1" applyFont="1" applyFill="1" applyBorder="1"/>
    <x:xf numFmtId="0" fontId="12" fillId="10" borderId="0" xfId="0" applyNumberFormat="1" applyFont="1" applyFill="1" applyBorder="1"/>
    <x:xf numFmtId="0" fontId="12" fillId="10" borderId="0" xfId="0" applyNumberFormat="1" applyFont="1" applyFill="1" applyBorder="1" applyAlignment="1">
      <x:alignment wrapText="1"/>
    </x:xf>
    <x:xf numFmtId="0" fontId="0" fillId="10" borderId="1" xfId="0" applyNumberFormat="1" applyFont="1" applyFill="1" applyBorder="1"/>
    <x:xf numFmtId="0" fontId="12" fillId="10" borderId="1" xfId="0" applyNumberFormat="1" applyFont="1" applyFill="1" applyBorder="1"/>
    <x:xf numFmtId="0" fontId="12" fillId="10" borderId="1" xfId="0" applyNumberFormat="1" applyFont="1" applyFill="1" applyBorder="1" applyAlignment="1">
      <x:alignment wrapText="1"/>
    </x:xf>
    <x:xf numFmtId="203" fontId="7" fillId="6" borderId="0" xfId="0" applyNumberFormat="1" applyFont="1" applyFill="1" applyBorder="1" applyAlignment="1">
      <x:alignment horizontal="left" vertical="center"/>
    </x:xf>
    <x:xf numFmtId="203" fontId="8" fillId="7" borderId="0" xfId="0" applyNumberFormat="1" applyFont="1" applyFill="1" applyBorder="1" applyAlignment="1">
      <x:alignment vertical="center"/>
    </x:xf>
    <x:xf numFmtId="203" fontId="8" fillId="8" borderId="0" xfId="0" applyNumberFormat="1" applyFont="1" applyFill="1" applyBorder="1" applyAlignment="1">
      <x:alignment vertical="center"/>
    </x:xf>
    <x:xf numFmtId="203" fontId="8" fillId="9" borderId="0" xfId="0" applyNumberFormat="1" applyFont="1" applyFill="1" applyBorder="1" applyAlignment="1">
      <x:alignment vertical="center"/>
    </x:xf>
    <x:xf numFmtId="203" fontId="7" fillId="6" borderId="1" xfId="0" applyNumberFormat="1" applyFont="1" applyFill="1" applyBorder="1" applyAlignment="1">
      <x:alignment horizontal="left" vertical="center"/>
    </x:xf>
    <x:xf numFmtId="203" fontId="8" fillId="7" borderId="1" xfId="0" applyNumberFormat="1" applyFont="1" applyFill="1" applyBorder="1" applyAlignment="1">
      <x:alignment vertical="center"/>
    </x:xf>
    <x:xf numFmtId="203" fontId="8" fillId="8" borderId="1" xfId="0" applyNumberFormat="1" applyFont="1" applyFill="1" applyBorder="1" applyAlignment="1">
      <x:alignment vertical="center"/>
    </x:xf>
    <x:xf numFmtId="203" fontId="8" fillId="9" borderId="1" xfId="0" applyNumberFormat="1" applyFont="1" applyFill="1" applyBorder="1" applyAlignment="1">
      <x:alignment vertical="center"/>
    </x:xf>
    <x:xf numFmtId="203" fontId="8" fillId="6" borderId="0" xfId="0" applyNumberFormat="1" applyFont="1" applyFill="1" applyBorder="1" applyAlignment="1">
      <x:alignment horizontal="left" vertical="center"/>
    </x:xf>
    <x:xf numFmtId="203" fontId="9" fillId="0" borderId="0" xfId="0" applyNumberFormat="1" applyFont="1" applyFill="1" applyBorder="1"/>
    <x:xf numFmtId="203" fontId="8" fillId="6" borderId="1" xfId="0" applyNumberFormat="1" applyFont="1" applyFill="1" applyBorder="1" applyAlignment="1">
      <x:alignment horizontal="left" vertical="center"/>
    </x:xf>
    <x:xf numFmtId="203" fontId="9" fillId="0" borderId="1" xfId="0" applyNumberFormat="1" applyFont="1" applyFill="1" applyBorder="1"/>
    <x:xf numFmtId="0" fontId="0" fillId="11" borderId="0" xfId="0" applyNumberFormat="1" applyFont="1" applyFill="1" applyBorder="1"/>
    <x:xf numFmtId="0" fontId="0" fillId="11" borderId="1" xfId="0" applyNumberFormat="1" applyFont="1" applyFill="1" applyBorder="1"/>
    <x:xf numFmtId="0" fontId="13" fillId="11" borderId="0" xfId="0" applyNumberFormat="1" applyFont="1" applyFill="1" applyBorder="1"/>
    <x:xf numFmtId="0" fontId="13" fillId="11" borderId="1" xfId="0" applyNumberFormat="1" applyFont="1" applyFill="1" applyBorder="1"/>
    <x:xf numFmtId="200" fontId="0" fillId="0" borderId="0" xfId="0" applyNumberFormat="1" applyFont="1" applyFill="1" applyBorder="1"/>
    <x:xf numFmtId="200" fontId="0" fillId="0" borderId="1" xfId="0" applyNumberFormat="1" applyFont="1" applyFill="1" applyBorder="1"/>
    <x:xf numFmtId="202" fontId="0" fillId="0" borderId="0" xfId="0" applyNumberFormat="1" applyFont="1" applyFill="1" applyBorder="1"/>
    <x:xf numFmtId="202" fontId="0" fillId="0" borderId="1" xfId="0" applyNumberFormat="1" applyFont="1" applyFill="1" applyBorder="1"/>
    <x:xf numFmtId="204" fontId="0" fillId="0" borderId="0" xfId="0" applyNumberFormat="1" applyFont="1" applyFill="1" applyBorder="1"/>
    <x:xf numFmtId="204" fontId="0" fillId="0" borderId="1" xfId="0" applyNumberFormat="1" applyFont="1" applyFill="1" applyBorder="1"/>
    <x:xf numFmtId="203" fontId="14" fillId="6" borderId="0" xfId="0" applyNumberFormat="1" applyFont="1" applyFill="1" applyBorder="1" applyAlignment="1">
      <x:alignment horizontal="left" vertical="center"/>
    </x:xf>
    <x:xf numFmtId="200" fontId="11" fillId="0" borderId="0" xfId="0" applyNumberFormat="1" applyFont="1" applyFill="1" applyBorder="1"/>
    <x:xf numFmtId="202" fontId="11" fillId="0" borderId="0" xfId="0" applyNumberFormat="1" applyFont="1" applyFill="1" applyBorder="1"/>
    <x:xf numFmtId="204" fontId="11" fillId="0" borderId="0" xfId="0" applyNumberFormat="1" applyFont="1" applyFill="1" applyBorder="1"/>
    <x:xf numFmtId="0" fontId="11" fillId="0" borderId="0" xfId="0" applyNumberFormat="1" applyFont="1" applyFill="1" applyBorder="1"/>
    <x:xf numFmtId="0" fontId="14" fillId="6" borderId="0" xfId="0" applyNumberFormat="1" applyFont="1" applyFill="1" applyBorder="1" applyAlignment="1">
      <x:alignment horizontal="left" vertical="center"/>
    </x:xf>
    <x:xf numFmtId="203" fontId="14" fillId="6" borderId="1" xfId="0" applyNumberFormat="1" applyFont="1" applyFill="1" applyBorder="1" applyAlignment="1">
      <x:alignment horizontal="left" vertical="center"/>
    </x:xf>
    <x:xf numFmtId="200" fontId="11" fillId="0" borderId="1" xfId="0" applyNumberFormat="1" applyFont="1" applyFill="1" applyBorder="1"/>
    <x:xf numFmtId="202" fontId="11" fillId="0" borderId="1" xfId="0" applyNumberFormat="1" applyFont="1" applyFill="1" applyBorder="1"/>
    <x:xf numFmtId="204" fontId="11" fillId="0" borderId="1" xfId="0" applyNumberFormat="1" applyFont="1" applyFill="1" applyBorder="1"/>
    <x:xf numFmtId="0" fontId="11" fillId="0" borderId="1" xfId="0" applyNumberFormat="1" applyFont="1" applyFill="1" applyBorder="1"/>
    <x:xf numFmtId="0" fontId="14" fillId="6" borderId="1" xfId="0" applyNumberFormat="1" applyFont="1" applyFill="1" applyBorder="1" applyAlignment="1">
      <x:alignment horizontal="left" vertical="center"/>
    </x:xf>
    <x:xf numFmtId="203" fontId="14" fillId="6" borderId="0" xfId="0" applyNumberFormat="1" applyFont="1" applyFill="1" applyBorder="1" applyAlignment="1">
      <x:alignment horizontal="left" vertical="center" wrapText="1"/>
    </x:xf>
    <x:xf numFmtId="200" fontId="11" fillId="0" borderId="0" xfId="0" applyNumberFormat="1" applyFont="1" applyFill="1" applyBorder="1" applyAlignment="1">
      <x:alignment wrapText="1"/>
    </x:xf>
    <x:xf numFmtId="202" fontId="11" fillId="0" borderId="0" xfId="0" applyNumberFormat="1" applyFont="1" applyFill="1" applyBorder="1" applyAlignment="1">
      <x:alignment wrapText="1"/>
    </x:xf>
    <x:xf numFmtId="204" fontId="11" fillId="0" borderId="0" xfId="0" applyNumberFormat="1" applyFont="1" applyFill="1" applyBorder="1" applyAlignment="1">
      <x:alignment wrapText="1"/>
    </x:xf>
    <x:xf numFmtId="0" fontId="11" fillId="0" borderId="0" xfId="0" applyNumberFormat="1" applyFont="1" applyFill="1" applyBorder="1" applyAlignment="1">
      <x:alignment wrapText="1"/>
    </x:xf>
    <x:xf numFmtId="0" fontId="14" fillId="6" borderId="0" xfId="0" applyNumberFormat="1" applyFont="1" applyFill="1" applyBorder="1" applyAlignment="1">
      <x:alignment horizontal="left" vertical="center" wrapText="1"/>
    </x:xf>
    <x:xf numFmtId="0" fontId="13" fillId="11" borderId="0" xfId="0" applyNumberFormat="1" applyFont="1" applyFill="1" applyBorder="1" applyAlignment="1">
      <x:alignment wrapText="1"/>
    </x:xf>
    <x:xf numFmtId="203" fontId="14" fillId="6" borderId="1" xfId="0" applyNumberFormat="1" applyFont="1" applyFill="1" applyBorder="1" applyAlignment="1">
      <x:alignment horizontal="left" vertical="center" wrapText="1"/>
    </x:xf>
    <x:xf numFmtId="200" fontId="11" fillId="0" borderId="1" xfId="0" applyNumberFormat="1" applyFont="1" applyFill="1" applyBorder="1" applyAlignment="1">
      <x:alignment wrapText="1"/>
    </x:xf>
    <x:xf numFmtId="202" fontId="11" fillId="0" borderId="1" xfId="0" applyNumberFormat="1" applyFont="1" applyFill="1" applyBorder="1" applyAlignment="1">
      <x:alignment wrapText="1"/>
    </x:xf>
    <x:xf numFmtId="204" fontId="11" fillId="0" borderId="1" xfId="0" applyNumberFormat="1" applyFont="1" applyFill="1" applyBorder="1" applyAlignment="1">
      <x:alignment wrapText="1"/>
    </x:xf>
    <x:xf numFmtId="0" fontId="11" fillId="0" borderId="1" xfId="0" applyNumberFormat="1" applyFont="1" applyFill="1" applyBorder="1" applyAlignment="1">
      <x:alignment wrapText="1"/>
    </x:xf>
    <x:xf numFmtId="0" fontId="14" fillId="6" borderId="1" xfId="0" applyNumberFormat="1" applyFont="1" applyFill="1" applyBorder="1" applyAlignment="1">
      <x:alignment horizontal="left" vertical="center" wrapText="1"/>
    </x:xf>
    <x:xf numFmtId="0" fontId="13" fillId="11" borderId="1" xfId="0" applyNumberFormat="1" applyFont="1" applyFill="1" applyBorder="1" applyAlignment="1">
      <x:alignment wrapText="1"/>
    </x:xf>
    <x:xf numFmtId="0" fontId="13" fillId="0" borderId="0" xfId="0" applyNumberFormat="1" applyFont="1" applyFill="1" applyBorder="1" applyAlignment="1">
      <x:alignment vertical="top" wrapText="1"/>
    </x:xf>
    <x:xf numFmtId="0" fontId="13" fillId="0" borderId="1" xfId="0" applyNumberFormat="1" applyFont="1" applyFill="1" applyBorder="1" applyAlignment="1">
      <x:alignment vertical="top" wrapText="1"/>
    </x:xf>
    <x:xf numFmtId="0" fontId="13" fillId="4" borderId="0" xfId="0" applyNumberFormat="1" applyFont="1" applyFill="1" applyBorder="1" applyAlignment="1">
      <x:alignment vertical="top" wrapText="1"/>
    </x:xf>
    <x:xf numFmtId="0" fontId="13" fillId="4" borderId="1" xfId="0" applyNumberFormat="1" applyFont="1" applyFill="1" applyBorder="1" applyAlignment="1">
      <x:alignment vertical="top" wrapText="1"/>
    </x:xf>
    <x:xf numFmtId="0" fontId="15" fillId="7" borderId="0" xfId="0" applyNumberFormat="1" applyFont="1" applyFill="1" applyBorder="1"/>
    <x:xf numFmtId="0" fontId="15" fillId="7" borderId="0" xfId="0" applyNumberFormat="1" applyFont="1" applyFill="1" applyBorder="1" applyAlignment="1">
      <x:alignment wrapText="1"/>
    </x:xf>
    <x:xf numFmtId="0" fontId="15" fillId="7" borderId="0" xfId="0" applyNumberFormat="1" applyFont="1" applyFill="1" applyBorder="1" applyAlignment="1">
      <x:alignment horizontal="left" wrapText="1"/>
    </x:xf>
    <x:xf numFmtId="0" fontId="15" fillId="7" borderId="0" xfId="0" applyNumberFormat="1" applyFont="1" applyFill="1" applyBorder="1" applyAlignment="1">
      <x:alignment horizontal="left" vertical="center" wrapText="1"/>
    </x:xf>
    <x:xf numFmtId="0" fontId="15" fillId="7" borderId="1" xfId="0" applyNumberFormat="1" applyFont="1" applyFill="1" applyBorder="1"/>
    <x:xf numFmtId="0" fontId="15" fillId="7" borderId="1" xfId="0" applyNumberFormat="1" applyFont="1" applyFill="1" applyBorder="1" applyAlignment="1">
      <x:alignment wrapText="1"/>
    </x:xf>
    <x:xf numFmtId="0" fontId="15" fillId="7" borderId="1" xfId="0" applyNumberFormat="1" applyFont="1" applyFill="1" applyBorder="1" applyAlignment="1">
      <x:alignment horizontal="left" wrapText="1"/>
    </x:xf>
    <x:xf numFmtId="0" fontId="15" fillId="7" borderId="1" xfId="0" applyNumberFormat="1" applyFont="1" applyFill="1" applyBorder="1" applyAlignment="1">
      <x:alignment horizontal="left" vertical="center" wrapText="1"/>
    </x:xf>
    <x:xf numFmtId="205" fontId="0" fillId="0" borderId="0" xfId="0" applyNumberFormat="1" applyFont="1" applyFill="1" applyBorder="1"/>
    <x:xf numFmtId="205" fontId="0" fillId="0" borderId="1" xfId="0" applyNumberFormat="1" applyFont="1" applyFill="1" applyBorder="1"/>
    <x:xf numFmtId="205" fontId="11" fillId="0" borderId="0" xfId="0" applyNumberFormat="1" applyFont="1" applyFill="1" applyBorder="1"/>
    <x:xf numFmtId="205" fontId="11" fillId="0" borderId="1" xfId="0" applyNumberFormat="1" applyFont="1" applyFill="1" applyBorder="1"/>
    <x:xf numFmtId="0" fontId="0" fillId="5" borderId="0" xfId="0" applyNumberFormat="1" applyFont="1" applyFill="1" applyBorder="1"/>
    <x:xf numFmtId="205" fontId="11" fillId="5" borderId="0" xfId="0" applyNumberFormat="1" applyFont="1" applyFill="1" applyBorder="1"/>
    <x:xf numFmtId="0" fontId="0" fillId="5" borderId="1" xfId="0" applyNumberFormat="1" applyFont="1" applyFill="1" applyBorder="1"/>
    <x:xf numFmtId="205" fontId="11" fillId="5" borderId="1" xfId="0" applyNumberFormat="1" applyFont="1" applyFill="1" applyBorder="1"/>
    <x:xf numFmtId="205" fontId="11" fillId="0" borderId="0" xfId="0" applyNumberFormat="1" applyFont="1" applyFill="1" applyBorder="1" applyAlignment="1">
      <x:alignment wrapText="1"/>
    </x:xf>
    <x:xf numFmtId="0" fontId="0" fillId="5" borderId="0" xfId="0" applyNumberFormat="1" applyFont="1" applyFill="1" applyBorder="1" applyAlignment="1">
      <x:alignment wrapText="1"/>
    </x:xf>
    <x:xf numFmtId="205" fontId="11" fillId="5" borderId="0" xfId="0" applyNumberFormat="1" applyFont="1" applyFill="1" applyBorder="1" applyAlignment="1">
      <x:alignment wrapText="1"/>
    </x:xf>
    <x:xf numFmtId="205" fontId="11" fillId="0" borderId="1" xfId="0" applyNumberFormat="1" applyFont="1" applyFill="1" applyBorder="1" applyAlignment="1">
      <x:alignment wrapText="1"/>
    </x:xf>
    <x:xf numFmtId="0" fontId="0" fillId="5" borderId="1" xfId="0" applyNumberFormat="1" applyFont="1" applyFill="1" applyBorder="1" applyAlignment="1">
      <x:alignment wrapText="1"/>
    </x:xf>
    <x:xf numFmtId="205" fontId="11" fillId="5" borderId="1" xfId="0" applyNumberFormat="1" applyFont="1" applyFill="1" applyBorder="1" applyAlignment="1">
      <x:alignment wrapText="1"/>
    </x:xf>
    <x:xf numFmtId="0" fontId="0" fillId="11" borderId="0" xfId="0" applyNumberFormat="1" applyFont="1" applyFill="1" applyBorder="1" applyAlignment="1">
      <x:alignment wrapText="1"/>
    </x:xf>
    <x:xf numFmtId="204" fontId="11" fillId="11" borderId="0" xfId="0" applyNumberFormat="1" applyFont="1" applyFill="1" applyBorder="1" applyAlignment="1">
      <x:alignment wrapText="1"/>
    </x:xf>
    <x:xf numFmtId="0" fontId="0" fillId="11" borderId="1" xfId="0" applyNumberFormat="1" applyFont="1" applyFill="1" applyBorder="1" applyAlignment="1">
      <x:alignment wrapText="1"/>
    </x:xf>
    <x:xf numFmtId="204" fontId="11" fillId="11" borderId="1" xfId="0" applyNumberFormat="1" applyFont="1" applyFill="1" applyBorder="1" applyAlignment="1">
      <x:alignment wrapText="1"/>
    </x:xf>
    <x:xf numFmtId="204" fontId="13" fillId="11" borderId="0" xfId="0" applyNumberFormat="1" applyFont="1" applyFill="1" applyBorder="1" applyAlignment="1">
      <x:alignment wrapText="1"/>
    </x:xf>
    <x:xf numFmtId="204" fontId="13" fillId="11" borderId="1" xfId="0" applyNumberFormat="1" applyFont="1" applyFill="1" applyBorder="1" applyAlignment="1">
      <x:alignment wrapText="1"/>
    </x:xf>
    <x:xf numFmtId="0" fontId="16" fillId="3" borderId="0" xfId="0" applyNumberFormat="1" applyFont="1" applyFill="1" applyBorder="1"/>
    <x:xf numFmtId="0" fontId="16" fillId="3" borderId="0" xfId="0" applyNumberFormat="1" applyFont="1" applyFill="1" applyBorder="1" applyAlignment="1">
      <x:alignment wrapText="1"/>
    </x:xf>
    <x:xf numFmtId="0" fontId="16" fillId="3" borderId="0" xfId="0" applyNumberFormat="1" applyFont="1" applyFill="1" applyBorder="1" applyAlignment="1">
      <x:alignment vertical="top" wrapText="1"/>
    </x:xf>
    <x:xf numFmtId="0" fontId="16" fillId="3" borderId="1" xfId="0" applyNumberFormat="1" applyFont="1" applyFill="1" applyBorder="1"/>
    <x:xf numFmtId="0" fontId="16" fillId="3" borderId="1" xfId="0" applyNumberFormat="1" applyFont="1" applyFill="1" applyBorder="1" applyAlignment="1">
      <x:alignment wrapText="1"/>
    </x:xf>
    <x:xf numFmtId="0" fontId="16" fillId="3" borderId="1" xfId="0" applyNumberFormat="1" applyFont="1" applyFill="1" applyBorder="1" applyAlignment="1">
      <x:alignment vertical="top" wrapText="1"/>
    </x:xf>
    <x:xf numFmtId="0" fontId="13" fillId="4" borderId="0" xfId="0" applyNumberFormat="1" applyFont="1" applyFill="1" applyBorder="1" applyAlignment="1">
      <x:alignment wrapText="1"/>
    </x:xf>
    <x:xf numFmtId="0" fontId="13" fillId="4" borderId="1" xfId="0" applyNumberFormat="1" applyFont="1" applyFill="1" applyBorder="1" applyAlignment="1">
      <x:alignment wrapText="1"/>
    </x:xf>
    <x:xf numFmtId="0" fontId="0" fillId="12" borderId="0" xfId="0" applyNumberFormat="1" applyFont="1" applyFill="1" applyBorder="1"/>
    <x:xf numFmtId="0" fontId="3" fillId="12" borderId="0" xfId="0" applyNumberFormat="1" applyFont="1" applyFill="1" applyBorder="1"/>
    <x:xf numFmtId="0" fontId="3" fillId="12" borderId="0" xfId="0" applyNumberFormat="1" applyFont="1" applyFill="1" applyBorder="1" applyAlignment="1">
      <x:alignment wrapText="1"/>
    </x:xf>
    <x:xf numFmtId="0" fontId="3" fillId="12" borderId="0" xfId="0" applyNumberFormat="1" applyFont="1" applyFill="1" applyBorder="1" applyAlignment="1">
      <x:alignment horizontal="center" wrapText="1"/>
    </x:xf>
    <x:xf numFmtId="0" fontId="3" fillId="12" borderId="0" xfId="0" applyNumberFormat="1" applyFont="1" applyFill="1" applyBorder="1" applyAlignment="1">
      <x:alignment horizontal="center" vertical="center" wrapText="1"/>
    </x:xf>
    <x:xf numFmtId="0" fontId="0" fillId="12" borderId="1" xfId="0" applyNumberFormat="1" applyFont="1" applyFill="1" applyBorder="1"/>
    <x:xf numFmtId="0" fontId="3" fillId="12" borderId="1" xfId="0" applyNumberFormat="1" applyFont="1" applyFill="1" applyBorder="1"/>
    <x:xf numFmtId="0" fontId="3" fillId="12" borderId="1" xfId="0" applyNumberFormat="1" applyFont="1" applyFill="1" applyBorder="1" applyAlignment="1">
      <x:alignment wrapText="1"/>
    </x:xf>
    <x:xf numFmtId="0" fontId="3" fillId="12" borderId="1" xfId="0" applyNumberFormat="1" applyFont="1" applyFill="1" applyBorder="1" applyAlignment="1">
      <x:alignment horizontal="center" wrapText="1"/>
    </x:xf>
    <x:xf numFmtId="0" fontId="3" fillId="12" borderId="1" xfId="0" applyNumberFormat="1" applyFont="1" applyFill="1" applyBorder="1" applyAlignment="1">
      <x:alignment horizontal="center" vertical="center" wrapText="1"/>
    </x:xf>
    <x:xf numFmtId="0" fontId="1" fillId="2" borderId="0" xfId="0" applyNumberFormat="1" applyFont="1" applyFill="1" applyBorder="1" applyAlignment="1">
      <x:alignment horizontal="left" vertical="top"/>
    </x:xf>
    <x:xf numFmtId="0" fontId="0" fillId="0" borderId="0" xfId="0" applyNumberFormat="1" applyFont="1" applyFill="1" applyBorder="1" applyAlignment="1">
      <x:alignment vertical="top"/>
    </x:xf>
    <x:xf numFmtId="0" fontId="2" fillId="3" borderId="0" xfId="0" applyNumberFormat="1" applyFont="1" applyFill="1" applyBorder="1" applyAlignment="1">
      <x:alignment vertical="top" wrapText="1"/>
    </x:xf>
    <x:xf numFmtId="0" fontId="15" fillId="7" borderId="0" xfId="0" applyNumberFormat="1" applyFont="1" applyFill="1" applyBorder="1" applyAlignment="1">
      <x:alignment horizontal="left" vertical="top" wrapText="1"/>
    </x:xf>
    <x:xf numFmtId="0" fontId="7" fillId="6" borderId="0" xfId="0" applyNumberFormat="1" applyFont="1" applyFill="1" applyBorder="1" applyAlignment="1">
      <x:alignment horizontal="left" vertical="top"/>
    </x:xf>
    <x:xf numFmtId="0" fontId="3" fillId="2" borderId="0" xfId="0" applyNumberFormat="1" applyFont="1" applyFill="1" applyBorder="1" applyAlignment="1">
      <x:alignment horizontal="center" vertical="top" wrapText="1"/>
    </x:xf>
    <x:xf numFmtId="205" fontId="11" fillId="0" borderId="0" xfId="0" applyNumberFormat="1" applyFont="1" applyFill="1" applyBorder="1" applyAlignment="1">
      <x:alignment vertical="top" wrapText="1"/>
    </x:xf>
    <x:xf numFmtId="203" fontId="11" fillId="0" borderId="0" xfId="0" applyNumberFormat="1" applyFont="1" applyFill="1" applyBorder="1" applyAlignment="1">
      <x:alignment vertical="top" wrapText="1"/>
    </x:xf>
    <x:xf numFmtId="205" fontId="11" fillId="5" borderId="0" xfId="0" applyNumberFormat="1" applyFont="1" applyFill="1" applyBorder="1" applyAlignment="1">
      <x:alignment vertical="top" wrapText="1"/>
    </x:xf>
    <x:xf numFmtId="202" fontId="11" fillId="0" borderId="0" xfId="0" applyNumberFormat="1" applyFont="1" applyFill="1" applyBorder="1" applyAlignment="1">
      <x:alignment vertical="top" wrapText="1"/>
    </x:xf>
    <x:xf numFmtId="200" fontId="11" fillId="0" borderId="0" xfId="0" applyNumberFormat="1" applyFont="1" applyFill="1" applyBorder="1" applyAlignment="1">
      <x:alignment vertical="top" wrapText="1"/>
    </x:xf>
    <x:xf numFmtId="0" fontId="13" fillId="11" borderId="0" xfId="0" applyNumberFormat="1" applyFont="1" applyFill="1" applyBorder="1" applyAlignment="1">
      <x:alignment vertical="top" wrapText="1"/>
    </x:xf>
    <x:xf numFmtId="204" fontId="13" fillId="11" borderId="0" xfId="0" applyNumberFormat="1" applyFont="1" applyFill="1" applyBorder="1" applyAlignment="1">
      <x:alignment vertical="top" wrapText="1"/>
    </x:xf>
    <x:xf numFmtId="0" fontId="3" fillId="12" borderId="0" xfId="0" applyNumberFormat="1" applyFont="1" applyFill="1" applyBorder="1" applyAlignment="1">
      <x:alignment horizontal="center" vertical="top" wrapText="1"/>
    </x:xf>
    <x:xf numFmtId="205" fontId="11" fillId="0" borderId="0" xfId="0" applyNumberFormat="1" applyFont="1" applyFill="1" applyBorder="1" applyAlignment="1">
      <x:alignment vertical="top"/>
    </x:xf>
    <x:xf numFmtId="0" fontId="1" fillId="2" borderId="1" xfId="0" applyNumberFormat="1" applyFont="1" applyFill="1" applyBorder="1" applyAlignment="1">
      <x:alignment horizontal="left" vertical="top"/>
    </x:xf>
    <x:xf numFmtId="0" fontId="0" fillId="0" borderId="1" xfId="0" applyNumberFormat="1" applyFont="1" applyFill="1" applyBorder="1" applyAlignment="1">
      <x:alignment vertical="top"/>
    </x:xf>
    <x:xf numFmtId="0" fontId="2" fillId="3" borderId="1" xfId="0" applyNumberFormat="1" applyFont="1" applyFill="1" applyBorder="1" applyAlignment="1">
      <x:alignment vertical="top" wrapText="1"/>
    </x:xf>
    <x:xf numFmtId="0" fontId="15" fillId="7" borderId="1" xfId="0" applyNumberFormat="1" applyFont="1" applyFill="1" applyBorder="1" applyAlignment="1">
      <x:alignment horizontal="left" vertical="top" wrapText="1"/>
    </x:xf>
    <x:xf numFmtId="0" fontId="7" fillId="6" borderId="1" xfId="0" applyNumberFormat="1" applyFont="1" applyFill="1" applyBorder="1" applyAlignment="1">
      <x:alignment horizontal="left" vertical="top"/>
    </x:xf>
    <x:xf numFmtId="0" fontId="3" fillId="2" borderId="1" xfId="0" applyNumberFormat="1" applyFont="1" applyFill="1" applyBorder="1" applyAlignment="1">
      <x:alignment horizontal="center" vertical="top" wrapText="1"/>
    </x:xf>
    <x:xf numFmtId="205" fontId="11" fillId="0" borderId="1" xfId="0" applyNumberFormat="1" applyFont="1" applyFill="1" applyBorder="1" applyAlignment="1">
      <x:alignment vertical="top" wrapText="1"/>
    </x:xf>
    <x:xf numFmtId="203" fontId="11" fillId="0" borderId="1" xfId="0" applyNumberFormat="1" applyFont="1" applyFill="1" applyBorder="1" applyAlignment="1">
      <x:alignment vertical="top" wrapText="1"/>
    </x:xf>
    <x:xf numFmtId="205" fontId="11" fillId="5" borderId="1" xfId="0" applyNumberFormat="1" applyFont="1" applyFill="1" applyBorder="1" applyAlignment="1">
      <x:alignment vertical="top" wrapText="1"/>
    </x:xf>
    <x:xf numFmtId="202" fontId="11" fillId="0" borderId="1" xfId="0" applyNumberFormat="1" applyFont="1" applyFill="1" applyBorder="1" applyAlignment="1">
      <x:alignment vertical="top" wrapText="1"/>
    </x:xf>
    <x:xf numFmtId="200" fontId="11" fillId="0" borderId="1" xfId="0" applyNumberFormat="1" applyFont="1" applyFill="1" applyBorder="1" applyAlignment="1">
      <x:alignment vertical="top" wrapText="1"/>
    </x:xf>
    <x:xf numFmtId="0" fontId="13" fillId="11" borderId="1" xfId="0" applyNumberFormat="1" applyFont="1" applyFill="1" applyBorder="1" applyAlignment="1">
      <x:alignment vertical="top" wrapText="1"/>
    </x:xf>
    <x:xf numFmtId="204" fontId="13" fillId="11" borderId="1" xfId="0" applyNumberFormat="1" applyFont="1" applyFill="1" applyBorder="1" applyAlignment="1">
      <x:alignment vertical="top" wrapText="1"/>
    </x:xf>
    <x:xf numFmtId="0" fontId="3" fillId="12" borderId="1" xfId="0" applyNumberFormat="1" applyFont="1" applyFill="1" applyBorder="1" applyAlignment="1">
      <x:alignment horizontal="center" vertical="top" wrapText="1"/>
    </x:xf>
    <x:xf numFmtId="205" fontId="11" fillId="0" borderId="1" xfId="0" applyNumberFormat="1" applyFont="1" applyFill="1" applyBorder="1" applyAlignment="1">
      <x:alignment vertical="top"/>
    </x:xf>
    <x:xf numFmtId="0" fontId="7" fillId="6" borderId="0" xfId="0" applyNumberFormat="1" applyFont="1" applyFill="1" applyBorder="1" applyAlignment="1">
      <x:alignment horizontal="left" vertical="top" wrapText="1"/>
    </x:xf>
    <x:xf numFmtId="0" fontId="4" fillId="6" borderId="0" xfId="0" applyNumberFormat="1" applyFont="1" applyFill="1" applyBorder="1" applyAlignment="1">
      <x:alignment horizontal="right" vertical="top" wrapText="1"/>
    </x:xf>
    <x:xf numFmtId="203" fontId="4" fillId="6" borderId="0" xfId="0" applyNumberFormat="1" applyFont="1" applyFill="1" applyBorder="1" applyAlignment="1">
      <x:alignment horizontal="right" vertical="top" wrapText="1"/>
    </x:xf>
    <x:xf numFmtId="203" fontId="8" fillId="6" borderId="0" xfId="0" applyNumberFormat="1" applyFont="1" applyFill="1" applyBorder="1" applyAlignment="1">
      <x:alignment horizontal="right" vertical="top" wrapText="1"/>
    </x:xf>
    <x:xf numFmtId="203" fontId="9" fillId="0" borderId="0" xfId="0" applyNumberFormat="1" applyFont="1" applyFill="1" applyBorder="1" applyAlignment="1">
      <x:alignment horizontal="right" vertical="top" wrapText="1"/>
    </x:xf>
    <x:xf numFmtId="0" fontId="8" fillId="7" borderId="0" xfId="0" applyNumberFormat="1" applyFont="1" applyFill="1" applyBorder="1" applyAlignment="1">
      <x:alignment vertical="top" wrapText="1"/>
    </x:xf>
    <x:xf numFmtId="0" fontId="4" fillId="7" borderId="0" xfId="0" applyNumberFormat="1" applyFont="1" applyFill="1" applyBorder="1" applyAlignment="1">
      <x:alignment horizontal="right" vertical="top" wrapText="1"/>
    </x:xf>
    <x:xf numFmtId="203" fontId="4" fillId="7" borderId="0" xfId="0" applyNumberFormat="1" applyFont="1" applyFill="1" applyBorder="1" applyAlignment="1">
      <x:alignment horizontal="right" vertical="top" wrapText="1"/>
    </x:xf>
    <x:xf numFmtId="203" fontId="8" fillId="7" borderId="0" xfId="0" applyNumberFormat="1" applyFont="1" applyFill="1" applyBorder="1" applyAlignment="1">
      <x:alignment horizontal="right" vertical="top" wrapText="1"/>
    </x:xf>
    <x:xf numFmtId="203" fontId="5" fillId="4" borderId="0" xfId="0" applyNumberFormat="1" applyFont="1" applyFill="1" applyBorder="1" applyAlignment="1">
      <x:alignment horizontal="right" vertical="top" wrapText="1"/>
    </x:xf>
    <x:xf numFmtId="203" fontId="9" fillId="4" borderId="0" xfId="0" applyNumberFormat="1" applyFont="1" applyFill="1" applyBorder="1" applyAlignment="1">
      <x:alignment horizontal="right" vertical="top" wrapText="1"/>
    </x:xf>
    <x:xf numFmtId="0" fontId="8" fillId="8" borderId="0" xfId="0" applyNumberFormat="1" applyFont="1" applyFill="1" applyBorder="1" applyAlignment="1">
      <x:alignment vertical="top" wrapText="1"/>
    </x:xf>
    <x:xf numFmtId="0" fontId="4" fillId="8" borderId="0" xfId="0" applyNumberFormat="1" applyFont="1" applyFill="1" applyBorder="1" applyAlignment="1">
      <x:alignment horizontal="right" vertical="top" wrapText="1"/>
    </x:xf>
    <x:xf numFmtId="203" fontId="4" fillId="8" borderId="0" xfId="0" applyNumberFormat="1" applyFont="1" applyFill="1" applyBorder="1" applyAlignment="1">
      <x:alignment horizontal="right" vertical="top" wrapText="1"/>
    </x:xf>
    <x:xf numFmtId="203" fontId="8" fillId="8" borderId="0" xfId="0" applyNumberFormat="1" applyFont="1" applyFill="1" applyBorder="1" applyAlignment="1">
      <x:alignment horizontal="right" vertical="top" wrapText="1"/>
    </x:xf>
    <x:xf numFmtId="0" fontId="8" fillId="9" borderId="0" xfId="0" applyNumberFormat="1" applyFont="1" applyFill="1" applyBorder="1" applyAlignment="1">
      <x:alignment vertical="top" wrapText="1"/>
    </x:xf>
    <x:xf numFmtId="0" fontId="4" fillId="9" borderId="0" xfId="0" applyNumberFormat="1" applyFont="1" applyFill="1" applyBorder="1" applyAlignment="1">
      <x:alignment horizontal="right" vertical="top" wrapText="1"/>
    </x:xf>
    <x:xf numFmtId="203" fontId="4" fillId="9" borderId="0" xfId="0" applyNumberFormat="1" applyFont="1" applyFill="1" applyBorder="1" applyAlignment="1">
      <x:alignment horizontal="right" vertical="top" wrapText="1"/>
    </x:xf>
    <x:xf numFmtId="203" fontId="8" fillId="9" borderId="0" xfId="0" applyNumberFormat="1" applyFont="1" applyFill="1" applyBorder="1" applyAlignment="1">
      <x:alignment horizontal="right" vertical="top" wrapText="1"/>
    </x:xf>
    <x:xf numFmtId="0" fontId="7" fillId="6" borderId="1" xfId="0" applyNumberFormat="1" applyFont="1" applyFill="1" applyBorder="1" applyAlignment="1">
      <x:alignment horizontal="left" vertical="top" wrapText="1"/>
    </x:xf>
    <x:xf numFmtId="0" fontId="4" fillId="6" borderId="1" xfId="0" applyNumberFormat="1" applyFont="1" applyFill="1" applyBorder="1" applyAlignment="1">
      <x:alignment horizontal="right" vertical="top" wrapText="1"/>
    </x:xf>
    <x:xf numFmtId="203" fontId="4" fillId="6" borderId="1" xfId="0" applyNumberFormat="1" applyFont="1" applyFill="1" applyBorder="1" applyAlignment="1">
      <x:alignment horizontal="right" vertical="top" wrapText="1"/>
    </x:xf>
    <x:xf numFmtId="203" fontId="8" fillId="6" borderId="1" xfId="0" applyNumberFormat="1" applyFont="1" applyFill="1" applyBorder="1" applyAlignment="1">
      <x:alignment horizontal="right" vertical="top" wrapText="1"/>
    </x:xf>
    <x:xf numFmtId="203" fontId="9" fillId="0" borderId="1" xfId="0" applyNumberFormat="1" applyFont="1" applyFill="1" applyBorder="1" applyAlignment="1">
      <x:alignment horizontal="right" vertical="top" wrapText="1"/>
    </x:xf>
    <x:xf numFmtId="0" fontId="8" fillId="7" borderId="1" xfId="0" applyNumberFormat="1" applyFont="1" applyFill="1" applyBorder="1" applyAlignment="1">
      <x:alignment vertical="top" wrapText="1"/>
    </x:xf>
    <x:xf numFmtId="0" fontId="4" fillId="7" borderId="1" xfId="0" applyNumberFormat="1" applyFont="1" applyFill="1" applyBorder="1" applyAlignment="1">
      <x:alignment horizontal="right" vertical="top" wrapText="1"/>
    </x:xf>
    <x:xf numFmtId="203" fontId="4" fillId="7" borderId="1" xfId="0" applyNumberFormat="1" applyFont="1" applyFill="1" applyBorder="1" applyAlignment="1">
      <x:alignment horizontal="right" vertical="top" wrapText="1"/>
    </x:xf>
    <x:xf numFmtId="203" fontId="8" fillId="7" borderId="1" xfId="0" applyNumberFormat="1" applyFont="1" applyFill="1" applyBorder="1" applyAlignment="1">
      <x:alignment horizontal="right" vertical="top" wrapText="1"/>
    </x:xf>
    <x:xf numFmtId="203" fontId="5" fillId="4" borderId="1" xfId="0" applyNumberFormat="1" applyFont="1" applyFill="1" applyBorder="1" applyAlignment="1">
      <x:alignment horizontal="right" vertical="top" wrapText="1"/>
    </x:xf>
    <x:xf numFmtId="203" fontId="9" fillId="4" borderId="1" xfId="0" applyNumberFormat="1" applyFont="1" applyFill="1" applyBorder="1" applyAlignment="1">
      <x:alignment horizontal="right" vertical="top" wrapText="1"/>
    </x:xf>
    <x:xf numFmtId="0" fontId="8" fillId="8" borderId="1" xfId="0" applyNumberFormat="1" applyFont="1" applyFill="1" applyBorder="1" applyAlignment="1">
      <x:alignment vertical="top" wrapText="1"/>
    </x:xf>
    <x:xf numFmtId="0" fontId="4" fillId="8" borderId="1" xfId="0" applyNumberFormat="1" applyFont="1" applyFill="1" applyBorder="1" applyAlignment="1">
      <x:alignment horizontal="right" vertical="top" wrapText="1"/>
    </x:xf>
    <x:xf numFmtId="203" fontId="4" fillId="8" borderId="1" xfId="0" applyNumberFormat="1" applyFont="1" applyFill="1" applyBorder="1" applyAlignment="1">
      <x:alignment horizontal="right" vertical="top" wrapText="1"/>
    </x:xf>
    <x:xf numFmtId="203" fontId="8" fillId="8" borderId="1" xfId="0" applyNumberFormat="1" applyFont="1" applyFill="1" applyBorder="1" applyAlignment="1">
      <x:alignment horizontal="right" vertical="top" wrapText="1"/>
    </x:xf>
    <x:xf numFmtId="0" fontId="8" fillId="9" borderId="1" xfId="0" applyNumberFormat="1" applyFont="1" applyFill="1" applyBorder="1" applyAlignment="1">
      <x:alignment vertical="top" wrapText="1"/>
    </x:xf>
    <x:xf numFmtId="0" fontId="4" fillId="9" borderId="1" xfId="0" applyNumberFormat="1" applyFont="1" applyFill="1" applyBorder="1" applyAlignment="1">
      <x:alignment horizontal="right" vertical="top" wrapText="1"/>
    </x:xf>
    <x:xf numFmtId="203" fontId="4" fillId="9" borderId="1" xfId="0" applyNumberFormat="1" applyFont="1" applyFill="1" applyBorder="1" applyAlignment="1">
      <x:alignment horizontal="right" vertical="top" wrapText="1"/>
    </x:xf>
    <x:xf numFmtId="203" fontId="8" fillId="9" borderId="1" xfId="0" applyNumberFormat="1" applyFont="1" applyFill="1" applyBorder="1" applyAlignment="1">
      <x:alignment horizontal="right" vertical="top" wrapText="1"/>
    </x:xf>
    <x:xf numFmtId="0" fontId="6" fillId="7" borderId="0" xfId="0" applyNumberFormat="1" applyFont="1" applyFill="1" applyBorder="1" applyAlignment="1">
      <x:alignment vertical="top" wrapText="1"/>
    </x:xf>
    <x:xf numFmtId="0" fontId="10" fillId="0" borderId="0" xfId="0" applyNumberFormat="1" applyFont="1" applyFill="1" applyBorder="1" applyAlignment="1">
      <x:alignment vertical="top" wrapText="1"/>
    </x:xf>
    <x:xf numFmtId="0" fontId="10" fillId="5" borderId="0" xfId="0" applyNumberFormat="1" applyFont="1" applyFill="1" applyBorder="1" applyAlignment="1">
      <x:alignment vertical="top" wrapText="1"/>
    </x:xf>
    <x:xf numFmtId="203" fontId="11" fillId="5" borderId="0" xfId="0" applyNumberFormat="1" applyFont="1" applyFill="1" applyBorder="1" applyAlignment="1">
      <x:alignment vertical="top" wrapText="1"/>
    </x:xf>
    <x:xf numFmtId="0" fontId="4" fillId="6" borderId="0" xfId="0" applyNumberFormat="1" applyFont="1" applyFill="1" applyBorder="1" applyAlignment="1">
      <x:alignment horizontal="left" vertical="top" wrapText="1"/>
    </x:xf>
    <x:xf numFmtId="203" fontId="4" fillId="6" borderId="0" xfId="0" applyNumberFormat="1" applyFont="1" applyFill="1" applyBorder="1" applyAlignment="1">
      <x:alignment horizontal="left" vertical="top" wrapText="1"/>
    </x:xf>
    <x:xf numFmtId="202" fontId="4" fillId="6" borderId="0" xfId="0" applyNumberFormat="1" applyFont="1" applyFill="1" applyBorder="1" applyAlignment="1">
      <x:alignment horizontal="left" vertical="top" wrapText="1"/>
    </x:xf>
    <x:xf numFmtId="203" fontId="8" fillId="6" borderId="0" xfId="0" applyNumberFormat="1" applyFont="1" applyFill="1" applyBorder="1" applyAlignment="1">
      <x:alignment horizontal="left" vertical="top" wrapText="1"/>
    </x:xf>
    <x:xf numFmtId="203" fontId="5" fillId="4" borderId="0" xfId="0" applyNumberFormat="1" applyFont="1" applyFill="1" applyBorder="1" applyAlignment="1">
      <x:alignment vertical="top" wrapText="1"/>
    </x:xf>
    <x:xf numFmtId="202" fontId="5" fillId="4" borderId="0" xfId="0" applyNumberFormat="1" applyFont="1" applyFill="1" applyBorder="1" applyAlignment="1">
      <x:alignment vertical="top" wrapText="1"/>
    </x:xf>
    <x:xf numFmtId="203" fontId="9" fillId="4" borderId="0" xfId="0" applyNumberFormat="1" applyFont="1" applyFill="1" applyBorder="1" applyAlignment="1">
      <x:alignment vertical="top" wrapText="1"/>
    </x:xf>
    <x:xf numFmtId="0" fontId="4" fillId="7" borderId="0" xfId="0" applyNumberFormat="1" applyFont="1" applyFill="1" applyBorder="1" applyAlignment="1">
      <x:alignment vertical="top" wrapText="1"/>
    </x:xf>
    <x:xf numFmtId="203" fontId="4" fillId="7" borderId="0" xfId="0" applyNumberFormat="1" applyFont="1" applyFill="1" applyBorder="1" applyAlignment="1">
      <x:alignment vertical="top" wrapText="1"/>
    </x:xf>
    <x:xf numFmtId="202" fontId="4" fillId="7" borderId="0" xfId="0" applyNumberFormat="1" applyFont="1" applyFill="1" applyBorder="1" applyAlignment="1">
      <x:alignment vertical="top" wrapText="1"/>
    </x:xf>
    <x:xf numFmtId="203" fontId="8" fillId="7" borderId="0" xfId="0" applyNumberFormat="1" applyFont="1" applyFill="1" applyBorder="1" applyAlignment="1">
      <x:alignment vertical="top" wrapText="1"/>
    </x:xf>
    <x:xf numFmtId="203" fontId="5" fillId="0" borderId="0" xfId="0" applyNumberFormat="1" applyFont="1" applyFill="1" applyBorder="1" applyAlignment="1">
      <x:alignment vertical="top" wrapText="1"/>
    </x:xf>
    <x:xf numFmtId="202" fontId="5" fillId="0" borderId="0" xfId="0" applyNumberFormat="1" applyFont="1" applyFill="1" applyBorder="1" applyAlignment="1">
      <x:alignment vertical="top" wrapText="1"/>
    </x:xf>
    <x:xf numFmtId="203" fontId="9" fillId="0" borderId="0" xfId="0" applyNumberFormat="1" applyFont="1" applyFill="1" applyBorder="1" applyAlignment="1">
      <x:alignment vertical="top" wrapText="1"/>
    </x:xf>
    <x:xf numFmtId="0" fontId="4" fillId="8" borderId="0" xfId="0" applyNumberFormat="1" applyFont="1" applyFill="1" applyBorder="1" applyAlignment="1">
      <x:alignment vertical="top" wrapText="1"/>
    </x:xf>
    <x:xf numFmtId="203" fontId="4" fillId="8" borderId="0" xfId="0" applyNumberFormat="1" applyFont="1" applyFill="1" applyBorder="1" applyAlignment="1">
      <x:alignment vertical="top" wrapText="1"/>
    </x:xf>
    <x:xf numFmtId="202" fontId="4" fillId="8" borderId="0" xfId="0" applyNumberFormat="1" applyFont="1" applyFill="1" applyBorder="1" applyAlignment="1">
      <x:alignment vertical="top" wrapText="1"/>
    </x:xf>
    <x:xf numFmtId="203" fontId="8" fillId="8" borderId="0" xfId="0" applyNumberFormat="1" applyFont="1" applyFill="1" applyBorder="1" applyAlignment="1">
      <x:alignment vertical="top" wrapText="1"/>
    </x:xf>
    <x:xf numFmtId="0" fontId="4" fillId="9" borderId="0" xfId="0" applyNumberFormat="1" applyFont="1" applyFill="1" applyBorder="1" applyAlignment="1">
      <x:alignment vertical="top" wrapText="1"/>
    </x:xf>
    <x:xf numFmtId="203" fontId="4" fillId="9" borderId="0" xfId="0" applyNumberFormat="1" applyFont="1" applyFill="1" applyBorder="1" applyAlignment="1">
      <x:alignment vertical="top" wrapText="1"/>
    </x:xf>
    <x:xf numFmtId="202" fontId="4" fillId="9" borderId="0" xfId="0" applyNumberFormat="1" applyFont="1" applyFill="1" applyBorder="1" applyAlignment="1">
      <x:alignment vertical="top" wrapText="1"/>
    </x:xf>
    <x:xf numFmtId="203" fontId="8" fillId="9" borderId="0" xfId="0" applyNumberFormat="1" applyFont="1" applyFill="1" applyBorder="1" applyAlignment="1">
      <x:alignment vertical="top" wrapText="1"/>
    </x:xf>
    <x:xf numFmtId="0" fontId="6" fillId="7" borderId="1" xfId="0" applyNumberFormat="1" applyFont="1" applyFill="1" applyBorder="1" applyAlignment="1">
      <x:alignment vertical="top" wrapText="1"/>
    </x:xf>
    <x:xf numFmtId="0" fontId="10" fillId="0" borderId="1" xfId="0" applyNumberFormat="1" applyFont="1" applyFill="1" applyBorder="1" applyAlignment="1">
      <x:alignment vertical="top" wrapText="1"/>
    </x:xf>
    <x:xf numFmtId="0" fontId="10" fillId="5" borderId="1" xfId="0" applyNumberFormat="1" applyFont="1" applyFill="1" applyBorder="1" applyAlignment="1">
      <x:alignment vertical="top" wrapText="1"/>
    </x:xf>
    <x:xf numFmtId="203" fontId="11" fillId="5" borderId="1" xfId="0" applyNumberFormat="1" applyFont="1" applyFill="1" applyBorder="1" applyAlignment="1">
      <x:alignment vertical="top" wrapText="1"/>
    </x:xf>
    <x:xf numFmtId="0" fontId="4" fillId="6" borderId="1" xfId="0" applyNumberFormat="1" applyFont="1" applyFill="1" applyBorder="1" applyAlignment="1">
      <x:alignment horizontal="left" vertical="top" wrapText="1"/>
    </x:xf>
    <x:xf numFmtId="203" fontId="4" fillId="6" borderId="1" xfId="0" applyNumberFormat="1" applyFont="1" applyFill="1" applyBorder="1" applyAlignment="1">
      <x:alignment horizontal="left" vertical="top" wrapText="1"/>
    </x:xf>
    <x:xf numFmtId="202" fontId="4" fillId="6" borderId="1" xfId="0" applyNumberFormat="1" applyFont="1" applyFill="1" applyBorder="1" applyAlignment="1">
      <x:alignment horizontal="left" vertical="top" wrapText="1"/>
    </x:xf>
    <x:xf numFmtId="203" fontId="8" fillId="6" borderId="1" xfId="0" applyNumberFormat="1" applyFont="1" applyFill="1" applyBorder="1" applyAlignment="1">
      <x:alignment horizontal="left" vertical="top" wrapText="1"/>
    </x:xf>
    <x:xf numFmtId="203" fontId="5" fillId="4" borderId="1" xfId="0" applyNumberFormat="1" applyFont="1" applyFill="1" applyBorder="1" applyAlignment="1">
      <x:alignment vertical="top" wrapText="1"/>
    </x:xf>
    <x:xf numFmtId="202" fontId="5" fillId="4" borderId="1" xfId="0" applyNumberFormat="1" applyFont="1" applyFill="1" applyBorder="1" applyAlignment="1">
      <x:alignment vertical="top" wrapText="1"/>
    </x:xf>
    <x:xf numFmtId="203" fontId="9" fillId="4" borderId="1" xfId="0" applyNumberFormat="1" applyFont="1" applyFill="1" applyBorder="1" applyAlignment="1">
      <x:alignment vertical="top" wrapText="1"/>
    </x:xf>
    <x:xf numFmtId="0" fontId="4" fillId="7" borderId="1" xfId="0" applyNumberFormat="1" applyFont="1" applyFill="1" applyBorder="1" applyAlignment="1">
      <x:alignment vertical="top" wrapText="1"/>
    </x:xf>
    <x:xf numFmtId="203" fontId="4" fillId="7" borderId="1" xfId="0" applyNumberFormat="1" applyFont="1" applyFill="1" applyBorder="1" applyAlignment="1">
      <x:alignment vertical="top" wrapText="1"/>
    </x:xf>
    <x:xf numFmtId="202" fontId="4" fillId="7" borderId="1" xfId="0" applyNumberFormat="1" applyFont="1" applyFill="1" applyBorder="1" applyAlignment="1">
      <x:alignment vertical="top" wrapText="1"/>
    </x:xf>
    <x:xf numFmtId="203" fontId="8" fillId="7" borderId="1" xfId="0" applyNumberFormat="1" applyFont="1" applyFill="1" applyBorder="1" applyAlignment="1">
      <x:alignment vertical="top" wrapText="1"/>
    </x:xf>
    <x:xf numFmtId="203" fontId="5" fillId="0" borderId="1" xfId="0" applyNumberFormat="1" applyFont="1" applyFill="1" applyBorder="1" applyAlignment="1">
      <x:alignment vertical="top" wrapText="1"/>
    </x:xf>
    <x:xf numFmtId="202" fontId="5" fillId="0" borderId="1" xfId="0" applyNumberFormat="1" applyFont="1" applyFill="1" applyBorder="1" applyAlignment="1">
      <x:alignment vertical="top" wrapText="1"/>
    </x:xf>
    <x:xf numFmtId="203" fontId="9" fillId="0" borderId="1" xfId="0" applyNumberFormat="1" applyFont="1" applyFill="1" applyBorder="1" applyAlignment="1">
      <x:alignment vertical="top" wrapText="1"/>
    </x:xf>
    <x:xf numFmtId="0" fontId="4" fillId="8" borderId="1" xfId="0" applyNumberFormat="1" applyFont="1" applyFill="1" applyBorder="1" applyAlignment="1">
      <x:alignment vertical="top" wrapText="1"/>
    </x:xf>
    <x:xf numFmtId="203" fontId="4" fillId="8" borderId="1" xfId="0" applyNumberFormat="1" applyFont="1" applyFill="1" applyBorder="1" applyAlignment="1">
      <x:alignment vertical="top" wrapText="1"/>
    </x:xf>
    <x:xf numFmtId="202" fontId="4" fillId="8" borderId="1" xfId="0" applyNumberFormat="1" applyFont="1" applyFill="1" applyBorder="1" applyAlignment="1">
      <x:alignment vertical="top" wrapText="1"/>
    </x:xf>
    <x:xf numFmtId="203" fontId="8" fillId="8" borderId="1" xfId="0" applyNumberFormat="1" applyFont="1" applyFill="1" applyBorder="1" applyAlignment="1">
      <x:alignment vertical="top" wrapText="1"/>
    </x:xf>
    <x:xf numFmtId="0" fontId="4" fillId="9" borderId="1" xfId="0" applyNumberFormat="1" applyFont="1" applyFill="1" applyBorder="1" applyAlignment="1">
      <x:alignment vertical="top" wrapText="1"/>
    </x:xf>
    <x:xf numFmtId="203" fontId="4" fillId="9" borderId="1" xfId="0" applyNumberFormat="1" applyFont="1" applyFill="1" applyBorder="1" applyAlignment="1">
      <x:alignment vertical="top" wrapText="1"/>
    </x:xf>
    <x:xf numFmtId="202" fontId="4" fillId="9" borderId="1" xfId="0" applyNumberFormat="1" applyFont="1" applyFill="1" applyBorder="1" applyAlignment="1">
      <x:alignment vertical="top" wrapText="1"/>
    </x:xf>
    <x:xf numFmtId="203" fontId="8" fillId="9" borderId="1" xfId="0" applyNumberFormat="1" applyFont="1" applyFill="1" applyBorder="1" applyAlignment="1">
      <x:alignment vertical="top" wrapText="1"/>
    </x:xf>
    <x:xf numFmtId="0" fontId="10" fillId="0" borderId="0" xfId="0" applyNumberFormat="1" applyFont="1" applyFill="1" applyBorder="1" applyAlignment="1">
      <x:alignment vertical="top"/>
    </x:xf>
    <x:xf numFmtId="203" fontId="11" fillId="0" borderId="0" xfId="0" applyNumberFormat="1" applyFont="1" applyFill="1" applyBorder="1" applyAlignment="1">
      <x:alignment vertical="top"/>
    </x:xf>
    <x:xf numFmtId="0" fontId="10" fillId="5" borderId="0" xfId="0" applyNumberFormat="1" applyFont="1" applyFill="1" applyBorder="1" applyAlignment="1">
      <x:alignment vertical="top"/>
    </x:xf>
    <x:xf numFmtId="203" fontId="11" fillId="5" borderId="0" xfId="0" applyNumberFormat="1" applyFont="1" applyFill="1" applyBorder="1" applyAlignment="1">
      <x:alignment vertical="top"/>
    </x:xf>
    <x:xf numFmtId="0" fontId="12" fillId="10" borderId="0" xfId="0" applyNumberFormat="1" applyFont="1" applyFill="1" applyBorder="1" applyAlignment="1">
      <x:alignment vertical="top" wrapText="1"/>
    </x:xf>
    <x:xf numFmtId="0" fontId="10" fillId="0" borderId="1" xfId="0" applyNumberFormat="1" applyFont="1" applyFill="1" applyBorder="1" applyAlignment="1">
      <x:alignment vertical="top"/>
    </x:xf>
    <x:xf numFmtId="203" fontId="11" fillId="0" borderId="1" xfId="0" applyNumberFormat="1" applyFont="1" applyFill="1" applyBorder="1" applyAlignment="1">
      <x:alignment vertical="top"/>
    </x:xf>
    <x:xf numFmtId="0" fontId="10" fillId="5" borderId="1" xfId="0" applyNumberFormat="1" applyFont="1" applyFill="1" applyBorder="1" applyAlignment="1">
      <x:alignment vertical="top"/>
    </x:xf>
    <x:xf numFmtId="203" fontId="11" fillId="5" borderId="1" xfId="0" applyNumberFormat="1" applyFont="1" applyFill="1" applyBorder="1" applyAlignment="1">
      <x:alignment vertical="top"/>
    </x:xf>
    <x:xf numFmtId="0" fontId="12" fillId="10" borderId="1" xfId="0" applyNumberFormat="1" applyFont="1" applyFill="1" applyBorder="1" applyAlignment="1">
      <x:alignment vertical="top" wrapText="1"/>
    </x:xf>
    <x:xf numFmtId="203" fontId="14" fillId="6" borderId="0" xfId="0" applyNumberFormat="1" applyFont="1" applyFill="1" applyBorder="1" applyAlignment="1">
      <x:alignment horizontal="left" vertical="top" wrapText="1"/>
    </x:xf>
    <x:xf numFmtId="204" fontId="11" fillId="0" borderId="0" xfId="0" applyNumberFormat="1" applyFont="1" applyFill="1" applyBorder="1" applyAlignment="1">
      <x:alignment vertical="top" wrapText="1"/>
    </x:xf>
    <x:xf numFmtId="0" fontId="11" fillId="0" borderId="0" xfId="0" applyNumberFormat="1" applyFont="1" applyFill="1" applyBorder="1" applyAlignment="1">
      <x:alignment vertical="top" wrapText="1"/>
    </x:xf>
    <x:xf numFmtId="0" fontId="14" fillId="6" borderId="0" xfId="0" applyNumberFormat="1" applyFont="1" applyFill="1" applyBorder="1" applyAlignment="1">
      <x:alignment horizontal="left" vertical="top" wrapText="1"/>
    </x:xf>
    <x:xf numFmtId="203" fontId="14" fillId="6" borderId="1" xfId="0" applyNumberFormat="1" applyFont="1" applyFill="1" applyBorder="1" applyAlignment="1">
      <x:alignment horizontal="left" vertical="top" wrapText="1"/>
    </x:xf>
    <x:xf numFmtId="204" fontId="11" fillId="0" borderId="1" xfId="0" applyNumberFormat="1" applyFont="1" applyFill="1" applyBorder="1" applyAlignment="1">
      <x:alignment vertical="top" wrapText="1"/>
    </x:xf>
    <x:xf numFmtId="0" fontId="11" fillId="0" borderId="1" xfId="0" applyNumberFormat="1" applyFont="1" applyFill="1" applyBorder="1" applyAlignment="1">
      <x:alignment vertical="top" wrapText="1"/>
    </x:xf>
    <x:xf numFmtId="0" fontId="14" fillId="6" borderId="1" xfId="0" applyNumberFormat="1" applyFont="1" applyFill="1" applyBorder="1" applyAlignment="1">
      <x:alignment horizontal="left" vertical="top" wrapText="1"/>
    </x:xf>
    <x:xf numFmtId="206" fontId="5" fillId="4" borderId="0" xfId="0" applyNumberFormat="1" applyFont="1" applyFill="1" applyBorder="1" applyAlignment="1">
      <x:alignment horizontal="right" vertical="top" wrapText="1"/>
    </x:xf>
    <x:xf numFmtId="206" fontId="5" fillId="4" borderId="1" xfId="0" applyNumberFormat="1" applyFont="1" applyFill="1" applyBorder="1" applyAlignment="1">
      <x:alignment horizontal="right" vertical="top" wrapText="1"/>
    </x:xf>
    <x:xf numFmtId="207" fontId="11" fillId="0" borderId="0" xfId="0" applyNumberFormat="1" applyFont="1" applyFill="1" applyBorder="1" applyAlignment="1">
      <x:alignment vertical="top" wrapText="1"/>
    </x:xf>
    <x:xf numFmtId="207" fontId="11" fillId="0" borderId="1" xfId="0" applyNumberFormat="1" applyFont="1" applyFill="1" applyBorder="1" applyAlignment="1">
      <x:alignment vertical="top" wrapText="1"/>
    </x:xf>
    <x:xf numFmtId="207" fontId="13" fillId="11" borderId="0" xfId="0" applyNumberFormat="1" applyFont="1" applyFill="1" applyBorder="1" applyAlignment="1">
      <x:alignment vertical="top" wrapText="1"/>
    </x:xf>
    <x:xf numFmtId="207" fontId="13" fillId="11" borderId="1" xfId="0" applyNumberFormat="1" applyFont="1" applyFill="1" applyBorder="1" applyAlignment="1">
      <x:alignment vertical="top" wrapText="1"/>
    </x:xf>
    <x:xf numFmtId="0" fontId="6" fillId="5" borderId="0" xfId="0" applyNumberFormat="1" applyFont="1" applyFill="1" applyBorder="1" applyAlignment="1">
      <x:alignment vertical="center" wrapText="1"/>
    </x:xf>
    <x:xf numFmtId="0" fontId="6" fillId="5" borderId="1" xfId="0" applyNumberFormat="1" applyFont="1" applyFill="1" applyBorder="1" applyAlignment="1">
      <x:alignment vertical="center" wrapText="1"/>
    </x:xf>
    <x:xf numFmtId="0" fontId="0" fillId="0" borderId="0" xfId="0" applyNumberFormat="1" applyFont="1" applyFill="1" applyBorder="1" applyAlignment="1">
      <x:alignment vertical="center" wrapText="1"/>
    </x:xf>
    <x:xf numFmtId="0" fontId="0" fillId="0" borderId="1" xfId="0" applyNumberFormat="1" applyFont="1" applyFill="1" applyBorder="1" applyAlignment="1">
      <x:alignment vertical="center" wrapText="1"/>
    </x:xf>
    <x:xf numFmtId="0" fontId="13" fillId="4" borderId="0" xfId="0" applyNumberFormat="1" applyFont="1" applyFill="1" applyBorder="1" applyAlignment="1">
      <x:alignment vertical="center" wrapText="1"/>
    </x:xf>
    <x:xf numFmtId="0" fontId="13" fillId="4" borderId="1" xfId="0" applyNumberFormat="1" applyFont="1" applyFill="1" applyBorder="1" applyAlignment="1">
      <x:alignment vertical="center" wrapText="1"/>
    </x:xf>
    <x:xf numFmtId="205" fontId="0" fillId="0" borderId="0" xfId="0" applyNumberFormat="1" applyFont="1" applyFill="1" applyBorder="1" applyAlignment="1">
      <x:alignment vertical="top"/>
    </x:xf>
    <x:xf numFmtId="205" fontId="0" fillId="0" borderId="1" xfId="0" applyNumberFormat="1" applyFont="1" applyFill="1" applyBorder="1" applyAlignment="1">
      <x:alignment vertical="top"/>
    </x:xf>
    <x:xf numFmtId="0" fontId="0" fillId="0" borderId="0" xfId="0" applyNumberFormat="1" applyFont="1" applyFill="1" applyBorder="1"/>
    <x:xf numFmtId="208" fontId="5" fillId="0" borderId="0" xfId="0" applyNumberFormat="1" applyFont="1" applyFill="1" applyBorder="1" applyAlignment="1">
      <x:alignment horizontal="right" vertical="top" wrapText="1"/>
    </x:xf>
    <x:xf numFmtId="209" fontId="5" fillId="0" borderId="0" xfId="0" applyNumberFormat="1" applyFont="1" applyFill="1" applyBorder="1" applyAlignment="1">
      <x:alignment horizontal="right" vertical="top" wrapText="1"/>
    </x:xf>
    <x:xf numFmtId="208" fontId="5" fillId="13" borderId="0" xfId="0" applyNumberFormat="1" applyFont="1" applyFill="1" applyBorder="1" applyAlignment="1">
      <x:alignment horizontal="right" vertical="top" wrapText="1"/>
    </x:xf>
    <x:xf numFmtId="203" fontId="5" fillId="13" borderId="0" xfId="0" applyNumberFormat="1" applyFont="1" applyFill="1" applyBorder="1" applyAlignment="1">
      <x:alignment horizontal="right" vertical="top" wrapText="1"/>
    </x:xf>
    <x:xf numFmtId="209" fontId="5" fillId="13" borderId="0" xfId="0" applyNumberFormat="1" applyFont="1" applyFill="1" applyBorder="1" applyAlignment="1">
      <x:alignment horizontal="right" vertical="top" wrapText="1"/>
    </x:xf>
    <x:xf numFmtId="0" fontId="0" fillId="14" borderId="0" xfId="0" applyNumberFormat="1" applyFont="1" applyFill="1" applyBorder="1" applyAlignment="1">
      <x:alignment vertical="top" wrapText="1"/>
    </x:xf>
    <x:xf numFmtId="208" fontId="5" fillId="14" borderId="0" xfId="0" applyNumberFormat="1" applyFont="1" applyFill="1" applyBorder="1" applyAlignment="1">
      <x:alignment horizontal="right" vertical="top" wrapText="1"/>
    </x:xf>
    <x:xf numFmtId="0" fontId="6" fillId="14" borderId="0" xfId="0" applyNumberFormat="1" applyFont="1" applyFill="1" applyBorder="1" applyAlignment="1">
      <x:alignment vertical="top" wrapText="1"/>
    </x:xf>
    <x:xf numFmtId="203" fontId="5" fillId="14" borderId="0" xfId="0" applyNumberFormat="1" applyFont="1" applyFill="1" applyBorder="1" applyAlignment="1">
      <x:alignment horizontal="right" vertical="top" wrapText="1"/>
    </x:xf>
    <x:xf numFmtId="0" fontId="4" fillId="13" borderId="0" xfId="0" applyNumberFormat="1" applyFont="1" applyFill="1" applyBorder="1" applyAlignment="1">
      <x:alignment vertical="top" wrapText="1"/>
    </x:xf>
    <x:xf numFmtId="0" fontId="0" fillId="13" borderId="0" xfId="0" applyNumberFormat="1" applyFont="1" applyFill="1" applyBorder="1" applyAlignment="1">
      <x:alignment vertical="top" wrapText="1"/>
    </x:xf>
    <x:xf numFmtId="0" fontId="5" fillId="13" borderId="0" xfId="0" applyNumberFormat="1" applyFont="1" applyFill="1" applyBorder="1" applyAlignment="1">
      <x:alignment vertical="top" wrapText="1"/>
    </x:xf>
    <x:xf numFmtId="0" fontId="0" fillId="15" borderId="0" xfId="0" applyNumberFormat="1" applyFont="1" applyFill="1" applyBorder="1" applyAlignment="1">
      <x:alignment vertical="top"/>
    </x:xf>
    <x:xf numFmtId="0" fontId="7" fillId="15" borderId="0" xfId="0" applyNumberFormat="1" applyFont="1" applyFill="1" applyBorder="1" applyAlignment="1">
      <x:alignment vertical="top"/>
    </x:xf>
    <x:xf numFmtId="0" fontId="7" fillId="15" borderId="0" xfId="0" applyNumberFormat="1" applyFont="1" applyFill="1" applyBorder="1" applyAlignment="1">
      <x:alignment horizontal="left" vertical="top"/>
    </x:xf>
    <x:xf numFmtId="0" fontId="7" fillId="15" borderId="0" xfId="0" applyNumberFormat="1" applyFont="1" applyFill="1" applyBorder="1" applyAlignment="1">
      <x:alignment horizontal="left" vertical="center"/>
    </x:xf>
    <x:xf numFmtId="0" fontId="0" fillId="14" borderId="0" xfId="0" applyNumberFormat="1" applyFont="1" applyFill="1" applyBorder="1" applyAlignment="1">
      <x:alignment vertical="top"/>
    </x:xf>
    <x:xf numFmtId="0" fontId="6" fillId="14" borderId="0" xfId="0" applyNumberFormat="1" applyFont="1" applyFill="1" applyBorder="1" applyAlignment="1">
      <x:alignment vertical="top"/>
    </x:xf>
    <x:xf numFmtId="0" fontId="0" fillId="16" borderId="0" xfId="0" applyNumberFormat="1" applyFont="1" applyFill="1" applyBorder="1" applyAlignment="1">
      <x:alignment vertical="top" wrapText="1"/>
    </x:xf>
    <x:xf numFmtId="0" fontId="5" fillId="16" borderId="0" xfId="0" applyNumberFormat="1" applyFont="1" applyFill="1" applyBorder="1" applyAlignment="1">
      <x:alignment vertical="top" wrapText="1"/>
    </x:xf>
    <x:xf numFmtId="203" fontId="5" fillId="16" borderId="0" xfId="0" applyNumberFormat="1" applyFont="1" applyFill="1" applyBorder="1" applyAlignment="1">
      <x:alignment vertical="top" wrapText="1"/>
    </x:xf>
    <x:xf numFmtId="202" fontId="5" fillId="16" borderId="0" xfId="0" applyNumberFormat="1" applyFont="1" applyFill="1" applyBorder="1" applyAlignment="1">
      <x:alignment vertical="top" wrapText="1"/>
    </x:xf>
    <x:xf numFmtId="203" fontId="9" fillId="16" borderId="0" xfId="0" applyNumberFormat="1" applyFont="1" applyFill="1" applyBorder="1" applyAlignment="1">
      <x:alignment vertical="top" wrapText="1"/>
    </x:xf>
    <x:xf numFmtId="0" fontId="8" fillId="16" borderId="0" xfId="0" applyNumberFormat="1" applyFont="1" applyFill="1" applyBorder="1" applyAlignment="1">
      <x:alignment vertical="top" wrapText="1"/>
    </x:xf>
    <x:xf numFmtId="203" fontId="8" fillId="16" borderId="0" xfId="0" applyNumberFormat="1" applyFont="1" applyFill="1" applyBorder="1" applyAlignment="1">
      <x:alignment vertical="top" wrapText="1"/>
    </x:xf>
    <x:xf numFmtId="202" fontId="8" fillId="16" borderId="0" xfId="0" applyNumberFormat="1" applyFont="1" applyFill="1" applyBorder="1" applyAlignment="1">
      <x:alignment vertical="top" wrapText="1"/>
    </x:xf>
    <x:xf numFmtId="0" fontId="8" fillId="16" borderId="0" xfId="0" applyNumberFormat="1" applyFont="1" applyFill="1" applyBorder="1" applyAlignment="1">
      <x:alignment vertical="center" wrapText="1"/>
    </x:xf>
    <x:xf numFmtId="203" fontId="8" fillId="16" borderId="0" xfId="0" applyNumberFormat="1" applyFont="1" applyFill="1" applyBorder="1" applyAlignment="1">
      <x:alignment vertical="center" wrapText="1"/>
    </x:xf>
    <x:xf numFmtId="202" fontId="8" fillId="16" borderId="0" xfId="0" applyNumberFormat="1" applyFont="1" applyFill="1" applyBorder="1" applyAlignment="1">
      <x:alignment vertical="center" wrapText="1"/>
    </x:xf>
    <x:xf numFmtId="203" fontId="11" fillId="4" borderId="0" xfId="0" applyNumberFormat="1" applyFont="1" applyFill="1" applyBorder="1" applyAlignment="1">
      <x:alignment vertical="top" wrapText="1"/>
    </x:xf>
    <x:xf numFmtId="203" fontId="14" fillId="7" borderId="0" xfId="0" applyNumberFormat="1" applyFont="1" applyFill="1" applyBorder="1" applyAlignment="1">
      <x:alignment vertical="top" wrapText="1"/>
    </x:xf>
    <x:xf numFmtId="203" fontId="14" fillId="16" borderId="0" xfId="0" applyNumberFormat="1" applyFont="1" applyFill="1" applyBorder="1" applyAlignment="1">
      <x:alignment vertical="center" wrapText="1"/>
    </x:xf>
    <x:xf numFmtId="0" fontId="0" fillId="17" borderId="0" xfId="0" applyNumberFormat="1" applyFont="1" applyFill="1" applyBorder="1" applyAlignment="1">
      <x:alignment vertical="top"/>
    </x:xf>
    <x:xf numFmtId="0" fontId="3" fillId="17" borderId="0" xfId="0" applyNumberFormat="1" applyFont="1" applyFill="1" applyBorder="1" applyAlignment="1">
      <x:alignment vertical="top"/>
    </x:xf>
    <x:xf numFmtId="0" fontId="3" fillId="17" borderId="0" xfId="0" applyNumberFormat="1" applyFont="1" applyFill="1" applyBorder="1" applyAlignment="1">
      <x:alignment vertical="top" wrapText="1"/>
    </x:xf>
    <x:xf numFmtId="0" fontId="3" fillId="17" borderId="0" xfId="0" applyNumberFormat="1" applyFont="1" applyFill="1" applyBorder="1" applyAlignment="1">
      <x:alignment horizontal="center" vertical="top" wrapText="1"/>
    </x:xf>
    <x:xf numFmtId="0" fontId="3" fillId="17" borderId="0" xfId="0" applyNumberFormat="1" applyFont="1" applyFill="1" applyBorder="1" applyAlignment="1">
      <x:alignment horizontal="center" vertical="center" wrapText="1"/>
    </x:xf>
    <x:xf numFmtId="203" fontId="0" fillId="0" borderId="0" xfId="0" applyNumberFormat="1" applyFont="1" applyFill="1" applyBorder="1" applyAlignment="1">
      <x:alignment vertical="top"/>
    </x:xf>
    <x:xf numFmtId="203" fontId="0" fillId="0" borderId="0" xfId="0" applyNumberFormat="1" applyFont="1" applyFill="1" applyBorder="1" applyAlignment="1">
      <x:alignment vertical="top" wrapText="1"/>
    </x:xf>
    <x:xf numFmtId="0" fontId="0" fillId="17" borderId="0" xfId="0" applyNumberFormat="1" applyFont="1" applyFill="1" applyBorder="1"/>
    <x:xf numFmtId="0" fontId="1" fillId="17" borderId="0" xfId="0" applyNumberFormat="1" applyFont="1" applyFill="1" applyBorder="1"/>
    <x:xf numFmtId="0" fontId="1" fillId="17" borderId="0" xfId="0" applyNumberFormat="1" applyFont="1" applyFill="1" applyBorder="1" applyAlignment="1">
      <x:alignment horizontal="left"/>
    </x:xf>
    <x:xf numFmtId="0" fontId="1" fillId="17" borderId="0" xfId="0" applyNumberFormat="1" applyFont="1" applyFill="1" applyBorder="1" applyAlignment="1">
      <x:alignment horizontal="left" vertical="center"/>
    </x:xf>
    <x:xf numFmtId="0" fontId="0" fillId="18" borderId="0" xfId="0" applyNumberFormat="1" applyFont="1" applyFill="1" applyBorder="1"/>
    <x:xf numFmtId="0" fontId="2" fillId="18" borderId="0" xfId="0" applyNumberFormat="1" applyFont="1" applyFill="1" applyBorder="1"/>
    <x:xf numFmtId="0" fontId="2" fillId="18" borderId="0" xfId="0" applyNumberFormat="1" applyFont="1" applyFill="1" applyBorder="1" applyAlignment="1">
      <x:alignment wrapText="1"/>
    </x:xf>
    <x:xf numFmtId="0" fontId="2" fillId="18" borderId="0" xfId="0" applyNumberFormat="1" applyFont="1" applyFill="1" applyBorder="1" applyAlignment="1">
      <x:alignment vertical="center" wrapText="1"/>
    </x:xf>
    <x:xf numFmtId="0" fontId="3" fillId="17" borderId="0" xfId="0" applyNumberFormat="1" applyFont="1" applyFill="1" applyBorder="1"/>
    <x:xf numFmtId="0" fontId="3" fillId="17" borderId="0" xfId="0" applyNumberFormat="1" applyFont="1" applyFill="1" applyBorder="1" applyAlignment="1">
      <x:alignment wrapText="1"/>
    </x:xf>
    <x:xf numFmtId="0" fontId="3" fillId="17" borderId="0" xfId="0" applyNumberFormat="1" applyFont="1" applyFill="1" applyBorder="1" applyAlignment="1">
      <x:alignment horizontal="center" wrapText="1"/>
    </x:xf>
    <x:xf numFmtId="0" fontId="17" fillId="0" borderId="0" xfId="0" applyNumberFormat="1" applyFont="1" applyFill="1" applyBorder="1"/>
    <x:xf numFmtId="0" fontId="5" fillId="0" borderId="0" xfId="0" applyNumberFormat="1" applyFont="1" applyFill="1" applyBorder="1"/>
    <x:xf numFmtId="0" fontId="9" fillId="0" borderId="0" xfId="0" applyNumberFormat="1" applyFont="1" applyFill="1" applyBorder="1"/>
    <x:xf numFmtId="203" fontId="5" fillId="0" borderId="0" xfId="0" applyNumberFormat="1" applyFont="1" applyFill="1" applyBorder="1"/>
    <x:xf numFmtId="202" fontId="5" fillId="0" borderId="0" xfId="0" applyNumberFormat="1" applyFont="1" applyFill="1" applyBorder="1"/>
    <x:xf numFmtId="202" fontId="9" fillId="0" borderId="0" xfId="0" applyNumberFormat="1" applyFont="1" applyFill="1" applyBorder="1"/>
    <x:xf numFmtId="208" fontId="11" fillId="0" borderId="0" xfId="0" applyNumberFormat="1" applyFont="1" applyFill="1" applyBorder="1"/>
    <x:xf numFmtId="208" fontId="5" fillId="0" borderId="0" xfId="0" applyNumberFormat="1" applyFont="1" applyFill="1" applyBorder="1"/>
    <x:xf numFmtId="0" fontId="0" fillId="15" borderId="0" xfId="0" applyNumberFormat="1" applyFont="1" applyFill="1" applyBorder="1"/>
    <x:xf numFmtId="0" fontId="7" fillId="15" borderId="0" xfId="0" applyNumberFormat="1" applyFont="1" applyFill="1" applyBorder="1"/>
    <x:xf numFmtId="0" fontId="7" fillId="15" borderId="0" xfId="0" applyNumberFormat="1" applyFont="1" applyFill="1" applyBorder="1" applyAlignment="1">
      <x:alignment horizontal="left"/>
    </x:xf>
    <x:xf numFmtId="209" fontId="9" fillId="0" borderId="0" xfId="0" applyNumberFormat="1" applyFont="1" applyFill="1" applyBorder="1"/>
    <x:xf numFmtId="0" fontId="10" fillId="19" borderId="0" xfId="0" applyNumberFormat="1" applyFont="1" applyFill="1" applyBorder="1"/>
    <x:xf numFmtId="203" fontId="9" fillId="19" borderId="0" xfId="0" applyNumberFormat="1" applyFont="1" applyFill="1" applyBorder="1"/>
    <x:xf numFmtId="0" fontId="8" fillId="19" borderId="0" xfId="0" applyNumberFormat="1" applyFont="1" applyFill="1" applyBorder="1"/>
    <x:xf numFmtId="203" fontId="8" fillId="19" borderId="0" xfId="0" applyNumberFormat="1" applyFont="1" applyFill="1" applyBorder="1"/>
    <x:xf numFmtId="0" fontId="8" fillId="19" borderId="0" xfId="0" applyNumberFormat="1" applyFont="1" applyFill="1" applyBorder="1" applyAlignment="1">
      <x:alignment wrapText="1"/>
    </x:xf>
    <x:xf numFmtId="203" fontId="8" fillId="19" borderId="0" xfId="0" applyNumberFormat="1" applyFont="1" applyFill="1" applyBorder="1" applyAlignment="1">
      <x:alignment wrapText="1"/>
    </x:xf>
    <x:xf numFmtId="0" fontId="8" fillId="19" borderId="0" xfId="0" applyNumberFormat="1" applyFont="1" applyFill="1" applyBorder="1" applyAlignment="1">
      <x:alignment vertical="center" wrapText="1"/>
    </x:xf>
    <x:xf numFmtId="203" fontId="8" fillId="19" borderId="0" xfId="0" applyNumberFormat="1" applyFont="1" applyFill="1" applyBorder="1" applyAlignment="1">
      <x:alignment vertical="center" wrapText="1"/>
    </x:xf>
    <x:xf numFmtId="0" fontId="10" fillId="16" borderId="0" xfId="0" applyNumberFormat="1" applyFont="1" applyFill="1" applyBorder="1"/>
    <x:xf numFmtId="203" fontId="9" fillId="16" borderId="0" xfId="0" applyNumberFormat="1" applyFont="1" applyFill="1" applyBorder="1"/>
    <x:xf numFmtId="0" fontId="0" fillId="19" borderId="0" xfId="0" applyNumberFormat="1" applyFont="1" applyFill="1" applyBorder="1"/>
    <x:xf numFmtId="203" fontId="0" fillId="19" borderId="0" xfId="0" applyNumberFormat="1" applyFont="1" applyFill="1" applyBorder="1"/>
    <x:xf numFmtId="0" fontId="0" fillId="20" borderId="0" xfId="0" applyNumberFormat="1" applyFont="1" applyFill="1" applyBorder="1"/>
    <x:xf numFmtId="203" fontId="9" fillId="20" borderId="0" xfId="0" applyNumberFormat="1" applyFont="1" applyFill="1" applyBorder="1"/>
    <x:xf numFmtId="0" fontId="18" fillId="20" borderId="0" xfId="0" applyNumberFormat="1" applyFont="1" applyFill="1" applyBorder="1"/>
    <x:xf numFmtId="203" fontId="18" fillId="20" borderId="0" xfId="0" applyNumberFormat="1" applyFont="1" applyFill="1" applyBorder="1"/>
    <x:xf numFmtId="0" fontId="19" fillId="18" borderId="0" xfId="0" applyNumberFormat="1" applyFont="1" applyFill="1" applyBorder="1"/>
    <x:xf numFmtId="0" fontId="19" fillId="18" borderId="0" xfId="0" applyNumberFormat="1" applyFont="1" applyFill="1" applyBorder="1" applyAlignment="1">
      <x:alignment wrapText="1"/>
    </x:xf>
    <x:xf numFmtId="0" fontId="19" fillId="18" borderId="0" xfId="0" applyNumberFormat="1" applyFont="1" applyFill="1" applyBorder="1" applyAlignment="1">
      <x:alignment vertical="center" wrapText="1"/>
    </x:xf>
    <x:xf numFmtId="210" fontId="0" fillId="0" borderId="0" xfId="0" applyNumberFormat="1" applyFont="1" applyFill="1" applyBorder="1"/>
    <x:xf numFmtId="210" fontId="11" fillId="0" borderId="0" xfId="0" applyNumberFormat="1" applyFont="1" applyFill="1" applyBorder="1"/>
    <x:xf numFmtId="0" fontId="0" fillId="16" borderId="0" xfId="0" applyNumberFormat="1" applyFont="1" applyFill="1" applyBorder="1" applyAlignment="1">
      <x:alignment wrapText="1"/>
    </x:xf>
    <x:xf numFmtId="203" fontId="11" fillId="16" borderId="0" xfId="0" applyNumberFormat="1" applyFont="1" applyFill="1" applyBorder="1" applyAlignment="1">
      <x:alignment wrapText="1"/>
    </x:xf>
    <x:xf numFmtId="0" fontId="13" fillId="0" borderId="0" xfId="0" applyNumberFormat="1" applyFont="1" applyFill="1" applyBorder="1" applyAlignment="1">
      <x:alignment wrapText="1"/>
    </x:xf>
    <x:xf numFmtId="0" fontId="13" fillId="16" borderId="0" xfId="0" applyNumberFormat="1" applyFont="1" applyFill="1" applyBorder="1" applyAlignment="1">
      <x:alignment wrapText="1"/>
    </x:xf>
    <x:xf numFmtId="203" fontId="11" fillId="19" borderId="0" xfId="0" applyNumberFormat="1" applyFont="1" applyFill="1" applyBorder="1"/>
    <x:xf numFmtId="203" fontId="11" fillId="16" borderId="0" xfId="0" applyNumberFormat="1" applyFont="1" applyFill="1" applyBorder="1"/>
    <x:xf numFmtId="0" fontId="0" fillId="16" borderId="0" xfId="0" applyNumberFormat="1" applyFont="1" applyFill="1" applyBorder="1"/>
    <x:xf numFmtId="0" fontId="19" fillId="18" borderId="0" xfId="0" applyNumberFormat="1" applyFont="1" applyFill="1" applyBorder="1" applyAlignment="1">
      <x:alignment vertical="top" wrapText="1"/>
    </x:xf>
    <x:xf numFmtId="0" fontId="1" fillId="17" borderId="0" xfId="0" applyNumberFormat="1" applyFont="1" applyFill="1" applyBorder="1" applyAlignment="1">
      <x:alignment horizontal="left" vertical="center" wrapText="1"/>
    </x:xf>
    <x:xf numFmtId="0" fontId="17" fillId="0" borderId="0" xfId="0" applyNumberFormat="1" applyFont="1" applyFill="1" applyBorder="1" applyAlignment="1">
      <x:alignment wrapText="1"/>
    </x:xf>
    <x:xf numFmtId="202" fontId="9" fillId="0" borderId="0" xfId="0" applyNumberFormat="1" applyFont="1" applyFill="1" applyBorder="1" applyAlignment="1">
      <x:alignment wrapText="1"/>
    </x:xf>
    <x:xf numFmtId="208" fontId="11" fillId="0" borderId="0" xfId="0" applyNumberFormat="1" applyFont="1" applyFill="1" applyBorder="1" applyAlignment="1">
      <x:alignment wrapText="1"/>
    </x:xf>
    <x:xf numFmtId="208" fontId="5" fillId="0" borderId="0" xfId="0" applyNumberFormat="1" applyFont="1" applyFill="1" applyBorder="1" applyAlignment="1">
      <x:alignment wrapText="1"/>
    </x:xf>
    <x:xf numFmtId="0" fontId="7" fillId="15" borderId="0" xfId="0" applyNumberFormat="1" applyFont="1" applyFill="1" applyBorder="1" applyAlignment="1">
      <x:alignment horizontal="left" vertical="center" wrapText="1"/>
    </x:xf>
    <x:xf numFmtId="0" fontId="10" fillId="16" borderId="0" xfId="0" applyNumberFormat="1" applyFont="1" applyFill="1" applyBorder="1" applyAlignment="1">
      <x:alignment wrapText="1"/>
    </x:xf>
    <x:xf numFmtId="203" fontId="9" fillId="16" borderId="0" xfId="0" applyNumberFormat="1" applyFont="1" applyFill="1" applyBorder="1" applyAlignment="1">
      <x:alignment wrapText="1"/>
    </x:xf>
    <x:xf numFmtId="209" fontId="9" fillId="0" borderId="0" xfId="0" applyNumberFormat="1" applyFont="1" applyFill="1" applyBorder="1" applyAlignment="1">
      <x:alignment wrapText="1"/>
    </x:xf>
    <x:xf numFmtId="0" fontId="18" fillId="20" borderId="0" xfId="0" applyNumberFormat="1" applyFont="1" applyFill="1" applyBorder="1" applyAlignment="1">
      <x:alignment wrapText="1"/>
    </x:xf>
    <x:xf numFmtId="203" fontId="18" fillId="20" borderId="0" xfId="0" applyNumberFormat="1" applyFont="1" applyFill="1" applyBorder="1" applyAlignment="1">
      <x:alignment wrapText="1"/>
    </x:xf>
    <x:xf numFmtId="210" fontId="11" fillId="0" borderId="0" xfId="0" applyNumberFormat="1" applyFont="1" applyFill="1" applyBorder="1" applyAlignment="1">
      <x:alignment wrapText="1"/>
    </x:xf>
    <x:xf numFmtId="0" fontId="10" fillId="19" borderId="0" xfId="0" applyNumberFormat="1" applyFont="1" applyFill="1" applyBorder="1" applyAlignment="1">
      <x:alignment wrapText="1"/>
    </x:xf>
    <x:xf numFmtId="203" fontId="11" fillId="19" borderId="0" xfId="0" applyNumberFormat="1" applyFont="1" applyFill="1" applyBorder="1" applyAlignment="1">
      <x:alignment wrapText="1"/>
    </x:xf>
    <x:xf numFmtId="0" fontId="0" fillId="19" borderId="0" xfId="0" applyNumberFormat="1" applyFont="1" applyFill="1" applyBorder="1" applyAlignment="1">
      <x:alignment wrapText="1"/>
    </x:xf>
    <x:xf numFmtId="203" fontId="9" fillId="19" borderId="0" xfId="0" applyNumberFormat="1" applyFont="1" applyFill="1" applyBorder="1" applyAlignment="1">
      <x:alignment wrapText="1"/>
    </x:xf>
    <x:xf numFmtId="209" fontId="0" fillId="0" borderId="0" xfId="0" applyNumberFormat="1" applyFont="1" applyFill="1" applyBorder="1"/>
    <x:xf numFmtId="209" fontId="11" fillId="0" borderId="0" xfId="0" applyNumberFormat="1" applyFont="1" applyFill="1" applyBorder="1"/>
    <x:xf numFmtId="0" fontId="0" fillId="14" borderId="0" xfId="0" applyNumberFormat="1" applyFont="1" applyFill="1" applyBorder="1"/>
    <x:xf numFmtId="202" fontId="11" fillId="14" borderId="0" xfId="0" applyNumberFormat="1" applyFont="1" applyFill="1" applyBorder="1"/>
    <x:xf numFmtId="209" fontId="11" fillId="14" borderId="0" xfId="0" applyNumberFormat="1" applyFont="1" applyFill="1" applyBorder="1"/>
    <x:xf numFmtId="203" fontId="11" fillId="14" borderId="0" xfId="0" applyNumberFormat="1" applyFont="1" applyFill="1" applyBorder="1"/>
    <x:xf numFmtId="202" fontId="11" fillId="16" borderId="0" xfId="0" applyNumberFormat="1" applyFont="1" applyFill="1" applyBorder="1"/>
    <x:xf numFmtId="209" fontId="11" fillId="16" borderId="0" xfId="0" applyNumberFormat="1" applyFont="1" applyFill="1" applyBorder="1"/>
    <x:xf numFmtId="0" fontId="13" fillId="20" borderId="0" xfId="0" applyNumberFormat="1" applyFont="1" applyFill="1" applyBorder="1"/>
    <x:xf numFmtId="0" fontId="13" fillId="20" borderId="0" xfId="0" applyNumberFormat="1" applyFont="1" applyFill="1" applyBorder="1" applyAlignment="1">
      <x:alignment wrapText="1"/>
    </x:xf>
    <x:xf numFmtId="0" fontId="13" fillId="20" borderId="0" xfId="0" applyNumberFormat="1" applyFont="1" applyFill="1" applyBorder="1" applyAlignment="1">
      <x:alignment vertical="center" wrapText="1"/>
    </x:xf>
    <x:xf numFmtId="0" fontId="5" fillId="13" borderId="0" xfId="0" applyNumberFormat="1" applyFont="1" applyFill="1" applyBorder="1"/>
    <x:xf numFmtId="209" fontId="5" fillId="13" borderId="0" xfId="0" applyNumberFormat="1" applyFont="1" applyFill="1" applyBorder="1"/>
    <x:xf numFmtId="203" fontId="5" fillId="13" borderId="0" xfId="0" applyNumberFormat="1" applyFont="1" applyFill="1" applyBorder="1"/>
    <x:xf numFmtId="202" fontId="5" fillId="13" borderId="0" xfId="0" applyNumberFormat="1" applyFont="1" applyFill="1" applyBorder="1"/>
    <x:xf numFmtId="0" fontId="6" fillId="16" borderId="0" xfId="0" applyNumberFormat="1" applyFont="1" applyFill="1" applyBorder="1"/>
    <x:xf numFmtId="0" fontId="6" fillId="16" borderId="0" xfId="0" applyNumberFormat="1" applyFont="1" applyFill="1" applyBorder="1" applyAlignment="1">
      <x:alignment wrapText="1"/>
    </x:xf>
    <x:xf numFmtId="207" fontId="0" fillId="0" borderId="0" xfId="0" applyNumberFormat="1" applyFont="1" applyFill="1" applyBorder="1" applyAlignment="1">
      <x:alignment vertical="top"/>
    </x:xf>
    <x:xf numFmtId="207" fontId="11" fillId="0" borderId="0" xfId="0" applyNumberFormat="1" applyFont="1" applyFill="1" applyBorder="1" applyAlignment="1">
      <x:alignment vertical="top"/>
    </x:xf>
    <x:xf numFmtId="0" fontId="0" fillId="16" borderId="0" xfId="0" applyNumberFormat="1" applyFont="1" applyFill="1" applyBorder="1" applyAlignment="1">
      <x:alignment vertical="top"/>
    </x:xf>
    <x:xf numFmtId="203" fontId="11" fillId="16" borderId="0" xfId="0" applyNumberFormat="1" applyFont="1" applyFill="1" applyBorder="1" applyAlignment="1">
      <x:alignment vertical="top"/>
    </x:xf>
    <x:xf numFmtId="0" fontId="0" fillId="19" borderId="0" xfId="0" applyNumberFormat="1" applyFont="1" applyFill="1" applyBorder="1" applyAlignment="1">
      <x:alignment vertical="top"/>
    </x:xf>
    <x:xf numFmtId="207" fontId="11" fillId="19" borderId="0" xfId="0" applyNumberFormat="1" applyFont="1" applyFill="1" applyBorder="1" applyAlignment="1">
      <x:alignment vertical="top"/>
    </x:xf>
    <x:xf numFmtId="203" fontId="11" fillId="19" borderId="0" xfId="0" applyNumberFormat="1" applyFont="1" applyFill="1" applyBorder="1" applyAlignment="1">
      <x:alignment vertical="top"/>
    </x:xf>
    <x:xf numFmtId="0" fontId="1" fillId="17" borderId="0" xfId="0" applyNumberFormat="1" applyFont="1" applyFill="1" applyBorder="1" applyAlignment="1">
      <x:alignment horizontal="left" vertical="top"/>
    </x:xf>
    <x:xf numFmtId="0" fontId="2" fillId="18" borderId="0" xfId="0" applyNumberFormat="1" applyFont="1" applyFill="1" applyBorder="1" applyAlignment="1">
      <x:alignment vertical="top" wrapText="1"/>
    </x:xf>
    <x:xf numFmtId="0" fontId="15" fillId="18" borderId="0" xfId="0" applyNumberFormat="1" applyFont="1" applyFill="1" applyBorder="1" applyAlignment="1">
      <x:alignment horizontal="left" vertical="top" wrapText="1"/>
    </x:xf>
    <x:xf numFmtId="0" fontId="0" fillId="18" borderId="0" xfId="0" applyNumberFormat="1" applyFont="1" applyFill="1" applyBorder="1" applyAlignment="1">
      <x:alignment vertical="top"/>
    </x:xf>
    <x:xf numFmtId="0" fontId="6" fillId="18" borderId="0" xfId="0" applyNumberFormat="1" applyFont="1" applyFill="1" applyBorder="1" applyAlignment="1">
      <x:alignment horizontal="left" vertical="top" wrapText="1"/>
    </x:xf>
    <x:xf numFmtId="0" fontId="16" fillId="18" borderId="0" xfId="0" applyNumberFormat="1" applyFont="1" applyFill="1" applyBorder="1" applyAlignment="1">
      <x:alignment vertical="top"/>
    </x:xf>
    <x:xf numFmtId="0" fontId="16" fillId="18" borderId="0" xfId="0" applyNumberFormat="1" applyFont="1" applyFill="1" applyBorder="1" applyAlignment="1">
      <x:alignment vertical="top" wrapText="1"/>
    </x:xf>
    <x:xf numFmtId="0" fontId="6" fillId="18" borderId="0" xfId="0" applyNumberFormat="1" applyFont="1" applyFill="1" applyBorder="1" applyAlignment="1">
      <x:alignment horizontal="left" vertical="center" wrapText="1"/>
    </x:xf>
    <x:xf numFmtId="0" fontId="16" fillId="18" borderId="0" xfId="0" applyNumberFormat="1" applyFont="1" applyFill="1" applyBorder="1" applyAlignment="1">
      <x:alignment vertical="center" wrapText="1"/>
    </x:xf>
    <x:xf numFmtId="0" fontId="3" fillId="15" borderId="0" xfId="0" applyNumberFormat="1" applyFont="1" applyFill="1" applyBorder="1" applyAlignment="1">
      <x:alignment horizontal="center" vertical="top" wrapText="1"/>
    </x:xf>
    <x:xf numFmtId="0" fontId="7" fillId="15" borderId="0" xfId="0" applyNumberFormat="1" applyFont="1" applyFill="1" applyBorder="1" applyAlignment="1">
      <x:alignment horizontal="center" vertical="top" wrapText="1"/>
    </x:xf>
    <x:xf numFmtId="0" fontId="7" fillId="15" borderId="0" xfId="0" applyNumberFormat="1" applyFont="1" applyFill="1" applyBorder="1" applyAlignment="1">
      <x:alignment horizontal="left" vertical="top" wrapText="1"/>
    </x:xf>
    <x:xf numFmtId="0" fontId="0" fillId="17" borderId="0" xfId="0" applyNumberFormat="1" applyFont="1" applyFill="1" applyBorder="1" applyAlignment="1">
      <x:alignment vertical="top" wrapText="1"/>
    </x:xf>
    <x:xf numFmtId="205" fontId="11" fillId="17" borderId="0" xfId="0" applyNumberFormat="1" applyFont="1" applyFill="1" applyBorder="1" applyAlignment="1">
      <x:alignment vertical="top" wrapText="1"/>
    </x:xf>
    <x:xf numFmtId="205" fontId="3" fillId="17" borderId="0" xfId="0" applyNumberFormat="1" applyFont="1" applyFill="1" applyBorder="1" applyAlignment="1">
      <x:alignment vertical="top" wrapText="1"/>
    </x:xf>
    <x:xf numFmtId="205" fontId="3" fillId="17" borderId="0" xfId="0" applyNumberFormat="1" applyFont="1" applyFill="1" applyBorder="1" applyAlignment="1">
      <x:alignment horizontal="center" vertical="top" wrapText="1"/>
    </x:xf>
    <x:xf numFmtId="205" fontId="3" fillId="17" borderId="0" xfId="0" applyNumberFormat="1" applyFont="1" applyFill="1" applyBorder="1" applyAlignment="1">
      <x:alignment horizontal="center" vertical="center" wrapText="1"/>
    </x:xf>
    <x:xf numFmtId="203" fontId="11" fillId="17" borderId="0" xfId="0" applyNumberFormat="1" applyFont="1" applyFill="1" applyBorder="1" applyAlignment="1">
      <x:alignment vertical="top" wrapText="1"/>
    </x:xf>
    <x:xf numFmtId="203" fontId="3" fillId="17" borderId="0" xfId="0" applyNumberFormat="1" applyFont="1" applyFill="1" applyBorder="1" applyAlignment="1">
      <x:alignment vertical="top" wrapText="1"/>
    </x:xf>
    <x:xf numFmtId="203" fontId="3" fillId="17" borderId="0" xfId="0" applyNumberFormat="1" applyFont="1" applyFill="1" applyBorder="1" applyAlignment="1">
      <x:alignment horizontal="center" vertical="top" wrapText="1"/>
    </x:xf>
    <x:xf numFmtId="203" fontId="3" fillId="17" borderId="0" xfId="0" applyNumberFormat="1" applyFont="1" applyFill="1" applyBorder="1" applyAlignment="1">
      <x:alignment horizontal="center" vertical="center" wrapText="1"/>
    </x:xf>
    <x:xf numFmtId="202" fontId="0" fillId="0" borderId="0" xfId="0" applyNumberFormat="1" applyFont="1" applyFill="1" applyBorder="1" applyAlignment="1">
      <x:alignment vertical="top"/>
    </x:xf>
    <x:xf numFmtId="202" fontId="11" fillId="0" borderId="0" xfId="0" applyNumberFormat="1" applyFont="1" applyFill="1" applyBorder="1" applyAlignment="1">
      <x:alignment vertical="top"/>
    </x:xf>
    <x:xf numFmtId="0" fontId="0" fillId="15" borderId="0" xfId="0" applyNumberFormat="1" applyFont="1" applyFill="1" applyBorder="1" applyAlignment="1">
      <x:alignment vertical="top" wrapText="1"/>
    </x:xf>
    <x:xf numFmtId="200" fontId="11" fillId="15" borderId="0" xfId="0" applyNumberFormat="1" applyFont="1" applyFill="1" applyBorder="1" applyAlignment="1">
      <x:alignment vertical="top" wrapText="1"/>
    </x:xf>
    <x:xf numFmtId="0" fontId="7" fillId="15" borderId="0" xfId="0" applyNumberFormat="1" applyFont="1" applyFill="1" applyBorder="1" applyAlignment="1">
      <x:alignment vertical="top" wrapText="1"/>
    </x:xf>
    <x:xf numFmtId="200" fontId="7" fillId="15" borderId="0" xfId="0" applyNumberFormat="1" applyFont="1" applyFill="1" applyBorder="1" applyAlignment="1">
      <x:alignment vertical="top" wrapText="1"/>
    </x:xf>
    <x:xf numFmtId="200" fontId="7" fillId="15" borderId="0" xfId="0" applyNumberFormat="1" applyFont="1" applyFill="1" applyBorder="1" applyAlignment="1">
      <x:alignment horizontal="left" vertical="top" wrapText="1"/>
    </x:xf>
    <x:xf numFmtId="200" fontId="7" fillId="15" borderId="0" xfId="0" applyNumberFormat="1" applyFont="1" applyFill="1" applyBorder="1" applyAlignment="1">
      <x:alignment horizontal="left" vertical="center" wrapText="1"/>
    </x:xf>
    <x:xf numFmtId="200" fontId="11" fillId="17" borderId="0" xfId="0" applyNumberFormat="1" applyFont="1" applyFill="1" applyBorder="1" applyAlignment="1">
      <x:alignment vertical="top" wrapText="1"/>
    </x:xf>
    <x:xf numFmtId="200" fontId="3" fillId="17" borderId="0" xfId="0" applyNumberFormat="1" applyFont="1" applyFill="1" applyBorder="1" applyAlignment="1">
      <x:alignment vertical="top" wrapText="1"/>
    </x:xf>
    <x:xf numFmtId="200" fontId="3" fillId="17" borderId="0" xfId="0" applyNumberFormat="1" applyFont="1" applyFill="1" applyBorder="1" applyAlignment="1">
      <x:alignment horizontal="center" vertical="top" wrapText="1"/>
    </x:xf>
    <x:xf numFmtId="200" fontId="3" fillId="17" borderId="0" xfId="0" applyNumberFormat="1" applyFont="1" applyFill="1" applyBorder="1" applyAlignment="1">
      <x:alignment horizontal="center" vertical="center" wrapText="1"/>
    </x:xf>
    <x:xf numFmtId="205" fontId="13" fillId="11" borderId="0" xfId="0" applyNumberFormat="1" applyFont="1" applyFill="1" applyBorder="1" applyAlignment="1">
      <x:alignment vertical="top" wrapText="1"/>
    </x:xf>
    <x:xf numFmtId="205" fontId="14" fillId="11" borderId="0" xfId="0" applyNumberFormat="1" applyFont="1" applyFill="1" applyBorder="1" applyAlignment="1">
      <x:alignment vertical="top" wrapText="1"/>
    </x:xf>
    <x:xf numFmtId="0" fontId="16" fillId="15" borderId="0" xfId="0" applyNumberFormat="1" applyFont="1" applyFill="1" applyBorder="1" applyAlignment="1">
      <x:alignment vertical="top" wrapText="1"/>
    </x:xf>
    <x:xf numFmtId="0" fontId="16" fillId="17" borderId="0" xfId="0" applyNumberFormat="1" applyFont="1" applyFill="1" applyBorder="1" applyAlignment="1">
      <x:alignment vertical="top" wrapText="1"/>
    </x:xf>
    <x:xf numFmtId="207" fontId="16" fillId="3" borderId="0" xfId="0" applyNumberFormat="1" applyFont="1" applyFill="1" applyBorder="1" applyAlignment="1">
      <x:alignment vertical="top" wrapText="1"/>
    </x:xf>
    <x:xf numFmtId="205" fontId="16" fillId="3" borderId="0" xfId="0" applyNumberFormat="1" applyFont="1" applyFill="1" applyBorder="1" applyAlignment="1">
      <x:alignment vertical="top" wrapText="1"/>
    </x:xf>
    <x:xf numFmtId="207" fontId="11" fillId="3" borderId="0" xfId="0" applyNumberFormat="1" applyFont="1" applyFill="1" applyBorder="1" applyAlignment="1">
      <x:alignment vertical="top" wrapText="1"/>
    </x:xf>
    <x:xf numFmtId="205" fontId="11" fillId="3" borderId="0" xfId="0" applyNumberFormat="1" applyFont="1" applyFill="1" applyBorder="1" applyAlignment="1">
      <x:alignment vertical="top" wrapText="1"/>
    </x:xf>
    <x:xf numFmtId="0" fontId="6" fillId="15" borderId="0" xfId="0" applyNumberFormat="1" applyFont="1" applyFill="1" applyBorder="1" applyAlignment="1">
      <x:alignment vertical="center" wrapText="1"/>
    </x:xf>
    <x:xf numFmtId="0" fontId="0" fillId="15" borderId="0" xfId="0" applyNumberFormat="1" applyFont="1" applyFill="1" applyBorder="1" applyAlignment="1">
      <x:alignment vertical="center" wrapText="1"/>
    </x:xf>
    <x:xf numFmtId="0" fontId="7" fillId="15" borderId="0" xfId="0" applyNumberFormat="1" applyFont="1" applyFill="1" applyBorder="1" applyAlignment="1">
      <x:alignment vertical="center" wrapText="1"/>
    </x:xf>
    <x:xf numFmtId="0" fontId="6" fillId="19" borderId="0" xfId="0" applyNumberFormat="1" applyFont="1" applyFill="1" applyBorder="1" applyAlignment="1">
      <x:alignment vertical="center" wrapText="1"/>
    </x:xf>
    <x:xf numFmtId="0" fontId="0" fillId="19" borderId="0" xfId="0" applyNumberFormat="1" applyFont="1" applyFill="1" applyBorder="1" applyAlignment="1">
      <x:alignment vertical="center" wrapText="1"/>
    </x:xf>
    <x:xf numFmtId="0" fontId="13" fillId="19" borderId="0" xfId="0" applyNumberFormat="1" applyFont="1" applyFill="1" applyBorder="1" applyAlignment="1">
      <x:alignment vertical="center" wrapText="1"/>
    </x:xf>
    <x:xf numFmtId="0" fontId="3" fillId="19" borderId="0" xfId="0" applyNumberFormat="1" applyFont="1" applyFill="1" applyBorder="1" applyAlignment="1">
      <x:alignment horizontal="center" vertical="center" wrapText="1"/>
    </x:xf>
    <x:xf numFmtId="0" fontId="3" fillId="19" borderId="0" xfId="0" applyNumberFormat="1" applyFont="1" applyFill="1" applyBorder="1" applyAlignment="1">
      <x:alignment horizontal="center" vertical="top" wrapText="1"/>
    </x:xf>
    <x:xf numFmtId="0" fontId="6" fillId="19" borderId="0" xfId="0" applyNumberFormat="1" applyFont="1" applyFill="1" applyBorder="1" applyAlignment="1">
      <x:alignment vertical="top"/>
    </x:xf>
    <x:xf numFmtId="0" fontId="6" fillId="19" borderId="0" xfId="0" applyNumberFormat="1" applyFont="1" applyFill="1" applyBorder="1" applyAlignment="1">
      <x:alignment horizontal="center" vertical="center" wrapText="1"/>
    </x:xf>
    <x:xf numFmtId="0" fontId="6" fillId="19" borderId="0" xfId="0" applyNumberFormat="1" applyFont="1" applyFill="1" applyBorder="1" applyAlignment="1">
      <x:alignment horizontal="center" vertical="top" wrapText="1"/>
    </x:xf>
    <x:xf numFmtId="0" fontId="6" fillId="19" borderId="0" xfId="0" applyNumberFormat="1" applyFont="1" applyFill="1" applyBorder="1" applyAlignment="1">
      <x:alignment vertical="top" wrapText="1"/>
    </x:xf>
    <x:xf numFmtId="205" fontId="11" fillId="15" borderId="0" xfId="0" applyNumberFormat="1" applyFont="1" applyFill="1" applyBorder="1" applyAlignment="1">
      <x:alignment vertical="top"/>
    </x:xf>
    <x:xf numFmtId="205" fontId="7" fillId="15" borderId="0" xfId="0" applyNumberFormat="1" applyFont="1" applyFill="1" applyBorder="1" applyAlignment="1">
      <x:alignment vertical="top"/>
    </x:xf>
    <x:xf numFmtId="205" fontId="7" fillId="15" borderId="0" xfId="0" applyNumberFormat="1" applyFont="1" applyFill="1" applyBorder="1" applyAlignment="1">
      <x:alignment horizontal="left" vertical="top"/>
    </x:xf>
    <x:xf numFmtId="205" fontId="7" fillId="15" borderId="0" xfId="0" applyNumberFormat="1" applyFont="1" applyFill="1" applyBorder="1" applyAlignment="1">
      <x:alignment horizontal="left" vertical="center"/>
    </x:xf>
    <x:xf numFmtId="0" fontId="0" fillId="21" borderId="0" xfId="0" applyNumberFormat="1" applyFont="1" applyFill="1" applyBorder="1" applyAlignment="1">
      <x:alignment vertical="top"/>
    </x:xf>
    <x:xf numFmtId="0" fontId="3" fillId="21" borderId="0" xfId="0" applyNumberFormat="1" applyFont="1" applyFill="1" applyBorder="1" applyAlignment="1">
      <x:alignment vertical="top"/>
    </x:xf>
    <x:xf numFmtId="0" fontId="3" fillId="21" borderId="0" xfId="0" applyNumberFormat="1" applyFont="1" applyFill="1" applyBorder="1" applyAlignment="1">
      <x:alignment vertical="top" wrapText="1"/>
    </x:xf>
    <x:xf numFmtId="0" fontId="3" fillId="21" borderId="0" xfId="0" applyNumberFormat="1" applyFont="1" applyFill="1" applyBorder="1" applyAlignment="1">
      <x:alignment horizontal="center" vertical="top" wrapText="1"/>
    </x:xf>
    <x:xf numFmtId="0" fontId="3" fillId="21" borderId="0" xfId="0" applyNumberFormat="1" applyFont="1" applyFill="1" applyBorder="1" applyAlignment="1">
      <x:alignment horizontal="center" vertical="center" wrapText="1"/>
    </x:xf>
    <x:xf numFmtId="0" fontId="13" fillId="13" borderId="0" xfId="0" applyNumberFormat="1" applyFont="1" applyFill="1" applyBorder="1" applyAlignment="1">
      <x:alignment vertical="top" wrapText="1"/>
    </x:xf>
    <x:xf numFmtId="0" fontId="1" fillId="2" borderId="0" xfId="0" applyNumberFormat="1" applyFont="1" applyFill="1" applyBorder="1" applyAlignment="1">
      <x:alignment horizontal="left" vertical="top" wrapText="1"/>
    </x:xf>
    <x:xf numFmtId="203" fontId="14" fillId="16" borderId="0" xfId="0" applyNumberFormat="1" applyFont="1" applyFill="1" applyBorder="1" applyAlignment="1">
      <x:alignment vertical="top" wrapText="1"/>
    </x:xf>
    <x:xf numFmtId="208" fontId="5" fillId="4" borderId="0" xfId="0" applyNumberFormat="1" applyFont="1" applyFill="1" applyBorder="1" applyAlignment="1">
      <x:alignment horizontal="right" vertical="top" wrapText="1"/>
    </x:xf>
    <x:xf numFmtId="209" fontId="5" fillId="4" borderId="0" xfId="0" applyNumberFormat="1" applyFont="1" applyFill="1" applyBorder="1" applyAlignment="1">
      <x:alignment horizontal="right" vertical="top" wrapText="1"/>
    </x:xf>
    <x:xf numFmtId="208" fontId="5" fillId="5" borderId="0" xfId="0" applyNumberFormat="1" applyFont="1" applyFill="1" applyBorder="1" applyAlignment="1">
      <x:alignment horizontal="right" vertical="top" wrapText="1"/>
    </x:xf>
    <x:xf numFmtId="0" fontId="0" fillId="6" borderId="0" xfId="0" applyNumberFormat="1" applyFont="1" applyFill="1" applyBorder="1" applyAlignment="1">
      <x:alignment vertical="top"/>
    </x:xf>
    <x:xf numFmtId="0" fontId="7" fillId="6" borderId="0" xfId="0" applyNumberFormat="1" applyFont="1" applyFill="1" applyBorder="1" applyAlignment="1">
      <x:alignment vertical="top"/>
    </x:xf>
    <x:xf numFmtId="0" fontId="0" fillId="5" borderId="0" xfId="0" applyNumberFormat="1" applyFont="1" applyFill="1" applyBorder="1" applyAlignment="1">
      <x:alignment vertical="top"/>
    </x:xf>
    <x:xf numFmtId="0" fontId="6" fillId="5" borderId="0" xfId="0" applyNumberFormat="1" applyFont="1" applyFill="1" applyBorder="1" applyAlignment="1">
      <x:alignment vertical="top"/>
    </x:xf>
    <x:xf numFmtId="0" fontId="0" fillId="7" borderId="0" xfId="0" applyNumberFormat="1" applyFont="1" applyFill="1" applyBorder="1" applyAlignment="1">
      <x:alignment vertical="top" wrapText="1"/>
    </x:xf>
    <x:xf numFmtId="0" fontId="5" fillId="7" borderId="0" xfId="0" applyNumberFormat="1" applyFont="1" applyFill="1" applyBorder="1" applyAlignment="1">
      <x:alignment vertical="top" wrapText="1"/>
    </x:xf>
    <x:xf numFmtId="203" fontId="5" fillId="7" borderId="0" xfId="0" applyNumberFormat="1" applyFont="1" applyFill="1" applyBorder="1" applyAlignment="1">
      <x:alignment vertical="top" wrapText="1"/>
    </x:xf>
    <x:xf numFmtId="202" fontId="5" fillId="7" borderId="0" xfId="0" applyNumberFormat="1" applyFont="1" applyFill="1" applyBorder="1" applyAlignment="1">
      <x:alignment vertical="top" wrapText="1"/>
    </x:xf>
    <x:xf numFmtId="203" fontId="9" fillId="7" borderId="0" xfId="0" applyNumberFormat="1" applyFont="1" applyFill="1" applyBorder="1" applyAlignment="1">
      <x:alignment vertical="top" wrapText="1"/>
    </x:xf>
    <x:xf numFmtId="202" fontId="8" fillId="7" borderId="0" xfId="0" applyNumberFormat="1" applyFont="1" applyFill="1" applyBorder="1" applyAlignment="1">
      <x:alignment vertical="top" wrapText="1"/>
    </x:xf>
    <x:xf numFmtId="203" fontId="14" fillId="7" borderId="0" xfId="0" applyNumberFormat="1" applyFont="1" applyFill="1" applyBorder="1" applyAlignment="1">
      <x:alignment vertical="center" wrapText="1"/>
    </x:xf>
    <x:xf numFmtId="0" fontId="0" fillId="2" borderId="0" xfId="0" applyNumberFormat="1" applyFont="1" applyFill="1" applyBorder="1" applyAlignment="1">
      <x:alignment vertical="top"/>
    </x:xf>
    <x:xf numFmtId="0" fontId="3" fillId="2" borderId="0" xfId="0" applyNumberFormat="1" applyFont="1" applyFill="1" applyBorder="1" applyAlignment="1">
      <x:alignment vertical="top"/>
    </x:xf>
    <x:xf numFmtId="0" fontId="3" fillId="2" borderId="0" xfId="0" applyNumberFormat="1" applyFont="1" applyFill="1" applyBorder="1" applyAlignment="1">
      <x:alignment vertical="top" wrapText="1"/>
    </x:xf>
    <x:xf numFmtId="0" fontId="10" fillId="9" borderId="0" xfId="0" applyNumberFormat="1" applyFont="1" applyFill="1" applyBorder="1"/>
    <x:xf numFmtId="203" fontId="9" fillId="9" borderId="0" xfId="0" applyNumberFormat="1" applyFont="1" applyFill="1" applyBorder="1"/>
    <x:xf numFmtId="203" fontId="8" fillId="9" borderId="0" xfId="0" applyNumberFormat="1" applyFont="1" applyFill="1" applyBorder="1"/>
    <x:xf numFmtId="0" fontId="8" fillId="9" borderId="0" xfId="0" applyNumberFormat="1" applyFont="1" applyFill="1" applyBorder="1" applyAlignment="1">
      <x:alignment wrapText="1"/>
    </x:xf>
    <x:xf numFmtId="203" fontId="8" fillId="9" borderId="0" xfId="0" applyNumberFormat="1" applyFont="1" applyFill="1" applyBorder="1" applyAlignment="1">
      <x:alignment wrapText="1"/>
    </x:xf>
    <x:xf numFmtId="0" fontId="10" fillId="7" borderId="0" xfId="0" applyNumberFormat="1" applyFont="1" applyFill="1" applyBorder="1"/>
    <x:xf numFmtId="203" fontId="9" fillId="7" borderId="0" xfId="0" applyNumberFormat="1" applyFont="1" applyFill="1" applyBorder="1"/>
    <x:xf numFmtId="203" fontId="0" fillId="9" borderId="0" xfId="0" applyNumberFormat="1" applyFont="1" applyFill="1" applyBorder="1"/>
    <x:xf numFmtId="203" fontId="9" fillId="11" borderId="0" xfId="0" applyNumberFormat="1" applyFont="1" applyFill="1" applyBorder="1"/>
    <x:xf numFmtId="0" fontId="18" fillId="11" borderId="0" xfId="0" applyNumberFormat="1" applyFont="1" applyFill="1" applyBorder="1"/>
    <x:xf numFmtId="203" fontId="18" fillId="11" borderId="0" xfId="0" applyNumberFormat="1" applyFont="1" applyFill="1" applyBorder="1"/>
    <x:xf numFmtId="0" fontId="19" fillId="3" borderId="0" xfId="0" applyNumberFormat="1" applyFont="1" applyFill="1" applyBorder="1"/>
    <x:xf numFmtId="0" fontId="19" fillId="3" borderId="0" xfId="0" applyNumberFormat="1" applyFont="1" applyFill="1" applyBorder="1" applyAlignment="1">
      <x:alignment wrapText="1"/>
    </x:xf>
    <x:xf numFmtId="0" fontId="19" fillId="3" borderId="0" xfId="0" applyNumberFormat="1" applyFont="1" applyFill="1" applyBorder="1" applyAlignment="1">
      <x:alignment vertical="center" wrapText="1"/>
    </x:xf>
    <x:xf numFmtId="0" fontId="0" fillId="7" borderId="0" xfId="0" applyNumberFormat="1" applyFont="1" applyFill="1" applyBorder="1" applyAlignment="1">
      <x:alignment wrapText="1"/>
    </x:xf>
    <x:xf numFmtId="203" fontId="11" fillId="7" borderId="0" xfId="0" applyNumberFormat="1" applyFont="1" applyFill="1" applyBorder="1" applyAlignment="1">
      <x:alignment wrapText="1"/>
    </x:xf>
    <x:xf numFmtId="0" fontId="13" fillId="7" borderId="0" xfId="0" applyNumberFormat="1" applyFont="1" applyFill="1" applyBorder="1" applyAlignment="1">
      <x:alignment wrapText="1"/>
    </x:xf>
    <x:xf numFmtId="203" fontId="11" fillId="9" borderId="0" xfId="0" applyNumberFormat="1" applyFont="1" applyFill="1" applyBorder="1"/>
    <x:xf numFmtId="203" fontId="11" fillId="7" borderId="0" xfId="0" applyNumberFormat="1" applyFont="1" applyFill="1" applyBorder="1"/>
    <x:xf numFmtId="0" fontId="19" fillId="3" borderId="0" xfId="0" applyNumberFormat="1" applyFont="1" applyFill="1" applyBorder="1" applyAlignment="1">
      <x:alignment vertical="top" wrapText="1"/>
    </x:xf>
    <x:xf numFmtId="0" fontId="1" fillId="2" borderId="0" xfId="0" applyNumberFormat="1" applyFont="1" applyFill="1" applyBorder="1" applyAlignment="1">
      <x:alignment horizontal="left" vertical="center" wrapText="1"/>
    </x:xf>
    <x:xf numFmtId="0" fontId="10" fillId="7" borderId="0" xfId="0" applyNumberFormat="1" applyFont="1" applyFill="1" applyBorder="1" applyAlignment="1">
      <x:alignment wrapText="1"/>
    </x:xf>
    <x:xf numFmtId="203" fontId="9" fillId="7" borderId="0" xfId="0" applyNumberFormat="1" applyFont="1" applyFill="1" applyBorder="1" applyAlignment="1">
      <x:alignment wrapText="1"/>
    </x:xf>
    <x:xf numFmtId="0" fontId="18" fillId="11" borderId="0" xfId="0" applyNumberFormat="1" applyFont="1" applyFill="1" applyBorder="1" applyAlignment="1">
      <x:alignment wrapText="1"/>
    </x:xf>
    <x:xf numFmtId="203" fontId="18" fillId="11" borderId="0" xfId="0" applyNumberFormat="1" applyFont="1" applyFill="1" applyBorder="1" applyAlignment="1">
      <x:alignment wrapText="1"/>
    </x:xf>
    <x:xf numFmtId="0" fontId="10" fillId="9" borderId="0" xfId="0" applyNumberFormat="1" applyFont="1" applyFill="1" applyBorder="1" applyAlignment="1">
      <x:alignment wrapText="1"/>
    </x:xf>
    <x:xf numFmtId="203" fontId="11" fillId="9" borderId="0" xfId="0" applyNumberFormat="1" applyFont="1" applyFill="1" applyBorder="1" applyAlignment="1">
      <x:alignment wrapText="1"/>
    </x:xf>
    <x:xf numFmtId="0" fontId="0" fillId="9" borderId="0" xfId="0" applyNumberFormat="1" applyFont="1" applyFill="1" applyBorder="1" applyAlignment="1">
      <x:alignment wrapText="1"/>
    </x:xf>
    <x:xf numFmtId="203" fontId="9" fillId="9" borderId="0" xfId="0" applyNumberFormat="1" applyFont="1" applyFill="1" applyBorder="1" applyAlignment="1">
      <x:alignment wrapText="1"/>
    </x:xf>
    <x:xf numFmtId="202" fontId="11" fillId="5" borderId="0" xfId="0" applyNumberFormat="1" applyFont="1" applyFill="1" applyBorder="1"/>
    <x:xf numFmtId="209" fontId="11" fillId="5" borderId="0" xfId="0" applyNumberFormat="1" applyFont="1" applyFill="1" applyBorder="1"/>
    <x:xf numFmtId="202" fontId="11" fillId="7" borderId="0" xfId="0" applyNumberFormat="1" applyFont="1" applyFill="1" applyBorder="1"/>
    <x:xf numFmtId="209" fontId="11" fillId="7" borderId="0" xfId="0" applyNumberFormat="1" applyFont="1" applyFill="1" applyBorder="1"/>
    <x:xf numFmtId="0" fontId="13" fillId="11" borderId="0" xfId="0" applyNumberFormat="1" applyFont="1" applyFill="1" applyBorder="1" applyAlignment="1">
      <x:alignment vertical="center" wrapText="1"/>
    </x:xf>
    <x:xf numFmtId="0" fontId="5" fillId="4" borderId="0" xfId="0" applyNumberFormat="1" applyFont="1" applyFill="1" applyBorder="1"/>
    <x:xf numFmtId="209" fontId="5" fillId="4" borderId="0" xfId="0" applyNumberFormat="1" applyFont="1" applyFill="1" applyBorder="1"/>
    <x:xf numFmtId="203" fontId="5" fillId="4" borderId="0" xfId="0" applyNumberFormat="1" applyFont="1" applyFill="1" applyBorder="1"/>
    <x:xf numFmtId="202" fontId="5" fillId="4" borderId="0" xfId="0" applyNumberFormat="1" applyFont="1" applyFill="1" applyBorder="1"/>
    <x:xf numFmtId="0" fontId="0" fillId="7" borderId="0" xfId="0" applyNumberFormat="1" applyFont="1" applyFill="1" applyBorder="1" applyAlignment="1">
      <x:alignment vertical="top"/>
    </x:xf>
    <x:xf numFmtId="203" fontId="11" fillId="7" borderId="0" xfId="0" applyNumberFormat="1" applyFont="1" applyFill="1" applyBorder="1" applyAlignment="1">
      <x:alignment vertical="top"/>
    </x:xf>
    <x:xf numFmtId="0" fontId="0" fillId="9" borderId="0" xfId="0" applyNumberFormat="1" applyFont="1" applyFill="1" applyBorder="1" applyAlignment="1">
      <x:alignment vertical="top"/>
    </x:xf>
    <x:xf numFmtId="207" fontId="11" fillId="9" borderId="0" xfId="0" applyNumberFormat="1" applyFont="1" applyFill="1" applyBorder="1" applyAlignment="1">
      <x:alignment vertical="top"/>
    </x:xf>
    <x:xf numFmtId="203" fontId="11" fillId="9" borderId="0" xfId="0" applyNumberFormat="1" applyFont="1" applyFill="1" applyBorder="1" applyAlignment="1">
      <x:alignment vertical="top"/>
    </x:xf>
    <x:xf numFmtId="0" fontId="15" fillId="3" borderId="0" xfId="0" applyNumberFormat="1" applyFont="1" applyFill="1" applyBorder="1" applyAlignment="1">
      <x:alignment horizontal="left" vertical="top" wrapText="1"/>
    </x:xf>
    <x:xf numFmtId="0" fontId="0" fillId="3" borderId="0" xfId="0" applyNumberFormat="1" applyFont="1" applyFill="1" applyBorder="1" applyAlignment="1">
      <x:alignment vertical="top"/>
    </x:xf>
    <x:xf numFmtId="0" fontId="6" fillId="3" borderId="0" xfId="0" applyNumberFormat="1" applyFont="1" applyFill="1" applyBorder="1" applyAlignment="1">
      <x:alignment horizontal="left" vertical="top" wrapText="1"/>
    </x:xf>
    <x:xf numFmtId="0" fontId="16" fillId="3" borderId="0" xfId="0" applyNumberFormat="1" applyFont="1" applyFill="1" applyBorder="1" applyAlignment="1">
      <x:alignment vertical="top"/>
    </x:xf>
    <x:xf numFmtId="0" fontId="6" fillId="3" borderId="0" xfId="0" applyNumberFormat="1" applyFont="1" applyFill="1" applyBorder="1" applyAlignment="1">
      <x:alignment horizontal="left" vertical="center" wrapText="1"/>
    </x:xf>
    <x:xf numFmtId="0" fontId="16" fillId="3" borderId="0" xfId="0" applyNumberFormat="1" applyFont="1" applyFill="1" applyBorder="1" applyAlignment="1">
      <x:alignment vertical="center" wrapText="1"/>
    </x:xf>
    <x:xf numFmtId="0" fontId="3" fillId="6" borderId="0" xfId="0" applyNumberFormat="1" applyFont="1" applyFill="1" applyBorder="1" applyAlignment="1">
      <x:alignment horizontal="center" vertical="top" wrapText="1"/>
    </x:xf>
    <x:xf numFmtId="0" fontId="7" fillId="6" borderId="0" xfId="0" applyNumberFormat="1" applyFont="1" applyFill="1" applyBorder="1" applyAlignment="1">
      <x:alignment horizontal="center" vertical="top" wrapText="1"/>
    </x:xf>
    <x:xf numFmtId="0" fontId="0" fillId="2" borderId="0" xfId="0" applyNumberFormat="1" applyFont="1" applyFill="1" applyBorder="1" applyAlignment="1">
      <x:alignment vertical="top" wrapText="1"/>
    </x:xf>
    <x:xf numFmtId="205" fontId="11" fillId="2" borderId="0" xfId="0" applyNumberFormat="1" applyFont="1" applyFill="1" applyBorder="1" applyAlignment="1">
      <x:alignment vertical="top" wrapText="1"/>
    </x:xf>
    <x:xf numFmtId="205" fontId="3" fillId="2" borderId="0" xfId="0" applyNumberFormat="1" applyFont="1" applyFill="1" applyBorder="1" applyAlignment="1">
      <x:alignment vertical="top" wrapText="1"/>
    </x:xf>
    <x:xf numFmtId="205" fontId="3" fillId="2" borderId="0" xfId="0" applyNumberFormat="1" applyFont="1" applyFill="1" applyBorder="1" applyAlignment="1">
      <x:alignment horizontal="center" vertical="top" wrapText="1"/>
    </x:xf>
    <x:xf numFmtId="205" fontId="3" fillId="2" borderId="0" xfId="0" applyNumberFormat="1" applyFont="1" applyFill="1" applyBorder="1" applyAlignment="1">
      <x:alignment horizontal="center" vertical="center" wrapText="1"/>
    </x:xf>
    <x:xf numFmtId="203" fontId="11" fillId="2" borderId="0" xfId="0" applyNumberFormat="1" applyFont="1" applyFill="1" applyBorder="1" applyAlignment="1">
      <x:alignment vertical="top" wrapText="1"/>
    </x:xf>
    <x:xf numFmtId="203" fontId="3" fillId="2" borderId="0" xfId="0" applyNumberFormat="1" applyFont="1" applyFill="1" applyBorder="1" applyAlignment="1">
      <x:alignment vertical="top" wrapText="1"/>
    </x:xf>
    <x:xf numFmtId="203" fontId="3" fillId="2" borderId="0" xfId="0" applyNumberFormat="1" applyFont="1" applyFill="1" applyBorder="1" applyAlignment="1">
      <x:alignment horizontal="center" vertical="top" wrapText="1"/>
    </x:xf>
    <x:xf numFmtId="203" fontId="3" fillId="2" borderId="0" xfId="0" applyNumberFormat="1" applyFont="1" applyFill="1" applyBorder="1" applyAlignment="1">
      <x:alignment horizontal="center" vertical="center" wrapText="1"/>
    </x:xf>
    <x:xf numFmtId="0" fontId="0" fillId="6" borderId="0" xfId="0" applyNumberFormat="1" applyFont="1" applyFill="1" applyBorder="1" applyAlignment="1">
      <x:alignment vertical="top" wrapText="1"/>
    </x:xf>
    <x:xf numFmtId="200" fontId="11" fillId="6" borderId="0" xfId="0" applyNumberFormat="1" applyFont="1" applyFill="1" applyBorder="1" applyAlignment="1">
      <x:alignment vertical="top" wrapText="1"/>
    </x:xf>
    <x:xf numFmtId="0" fontId="7" fillId="6" borderId="0" xfId="0" applyNumberFormat="1" applyFont="1" applyFill="1" applyBorder="1" applyAlignment="1">
      <x:alignment vertical="top" wrapText="1"/>
    </x:xf>
    <x:xf numFmtId="200" fontId="7" fillId="6" borderId="0" xfId="0" applyNumberFormat="1" applyFont="1" applyFill="1" applyBorder="1" applyAlignment="1">
      <x:alignment vertical="top" wrapText="1"/>
    </x:xf>
    <x:xf numFmtId="200" fontId="7" fillId="6" borderId="0" xfId="0" applyNumberFormat="1" applyFont="1" applyFill="1" applyBorder="1" applyAlignment="1">
      <x:alignment horizontal="left" vertical="top" wrapText="1"/>
    </x:xf>
    <x:xf numFmtId="200" fontId="7" fillId="6" borderId="0" xfId="0" applyNumberFormat="1" applyFont="1" applyFill="1" applyBorder="1" applyAlignment="1">
      <x:alignment horizontal="left" vertical="center" wrapText="1"/>
    </x:xf>
    <x:xf numFmtId="200" fontId="11" fillId="2" borderId="0" xfId="0" applyNumberFormat="1" applyFont="1" applyFill="1" applyBorder="1" applyAlignment="1">
      <x:alignment vertical="top" wrapText="1"/>
    </x:xf>
    <x:xf numFmtId="200" fontId="3" fillId="2" borderId="0" xfId="0" applyNumberFormat="1" applyFont="1" applyFill="1" applyBorder="1" applyAlignment="1">
      <x:alignment vertical="top" wrapText="1"/>
    </x:xf>
    <x:xf numFmtId="200" fontId="3" fillId="2" borderId="0" xfId="0" applyNumberFormat="1" applyFont="1" applyFill="1" applyBorder="1" applyAlignment="1">
      <x:alignment horizontal="center" vertical="top" wrapText="1"/>
    </x:xf>
    <x:xf numFmtId="200" fontId="3" fillId="2" borderId="0" xfId="0" applyNumberFormat="1" applyFont="1" applyFill="1" applyBorder="1" applyAlignment="1">
      <x:alignment horizontal="center" vertical="center" wrapText="1"/>
    </x:xf>
    <x:xf numFmtId="0" fontId="16" fillId="6" borderId="0" xfId="0" applyNumberFormat="1" applyFont="1" applyFill="1" applyBorder="1" applyAlignment="1">
      <x:alignment vertical="top" wrapText="1"/>
    </x:xf>
    <x:xf numFmtId="0" fontId="16" fillId="2" borderId="0" xfId="0" applyNumberFormat="1" applyFont="1" applyFill="1" applyBorder="1" applyAlignment="1">
      <x:alignment vertical="top" wrapText="1"/>
    </x:xf>
    <x:xf numFmtId="0" fontId="6" fillId="6" borderId="0" xfId="0" applyNumberFormat="1" applyFont="1" applyFill="1" applyBorder="1" applyAlignment="1">
      <x:alignment vertical="center" wrapText="1"/>
    </x:xf>
    <x:xf numFmtId="0" fontId="0" fillId="6" borderId="0" xfId="0" applyNumberFormat="1" applyFont="1" applyFill="1" applyBorder="1" applyAlignment="1">
      <x:alignment vertical="center" wrapText="1"/>
    </x:xf>
    <x:xf numFmtId="0" fontId="7" fillId="6" borderId="0" xfId="0" applyNumberFormat="1" applyFont="1" applyFill="1" applyBorder="1" applyAlignment="1">
      <x:alignment vertical="center" wrapText="1"/>
    </x:xf>
    <x:xf numFmtId="0" fontId="6" fillId="9" borderId="0" xfId="0" applyNumberFormat="1" applyFont="1" applyFill="1" applyBorder="1" applyAlignment="1">
      <x:alignment vertical="center" wrapText="1"/>
    </x:xf>
    <x:xf numFmtId="0" fontId="0" fillId="9" borderId="0" xfId="0" applyNumberFormat="1" applyFont="1" applyFill="1" applyBorder="1" applyAlignment="1">
      <x:alignment vertical="center" wrapText="1"/>
    </x:xf>
    <x:xf numFmtId="0" fontId="13" fillId="9" borderId="0" xfId="0" applyNumberFormat="1" applyFont="1" applyFill="1" applyBorder="1" applyAlignment="1">
      <x:alignment vertical="center" wrapText="1"/>
    </x:xf>
    <x:xf numFmtId="0" fontId="3" fillId="9" borderId="0" xfId="0" applyNumberFormat="1" applyFont="1" applyFill="1" applyBorder="1" applyAlignment="1">
      <x:alignment horizontal="center" vertical="center" wrapText="1"/>
    </x:xf>
    <x:xf numFmtId="0" fontId="3" fillId="9" borderId="0" xfId="0" applyNumberFormat="1" applyFont="1" applyFill="1" applyBorder="1" applyAlignment="1">
      <x:alignment horizontal="center" vertical="top" wrapText="1"/>
    </x:xf>
    <x:xf numFmtId="0" fontId="6" fillId="9" borderId="0" xfId="0" applyNumberFormat="1" applyFont="1" applyFill="1" applyBorder="1" applyAlignment="1">
      <x:alignment vertical="top"/>
    </x:xf>
    <x:xf numFmtId="0" fontId="6" fillId="9" borderId="0" xfId="0" applyNumberFormat="1" applyFont="1" applyFill="1" applyBorder="1" applyAlignment="1">
      <x:alignment horizontal="center" vertical="center" wrapText="1"/>
    </x:xf>
    <x:xf numFmtId="0" fontId="6" fillId="9" borderId="0" xfId="0" applyNumberFormat="1" applyFont="1" applyFill="1" applyBorder="1" applyAlignment="1">
      <x:alignment horizontal="center" vertical="top" wrapText="1"/>
    </x:xf>
    <x:xf numFmtId="0" fontId="6" fillId="9" borderId="0" xfId="0" applyNumberFormat="1" applyFont="1" applyFill="1" applyBorder="1" applyAlignment="1">
      <x:alignment vertical="top" wrapText="1"/>
    </x:xf>
    <x:xf numFmtId="205" fontId="11" fillId="6" borderId="0" xfId="0" applyNumberFormat="1" applyFont="1" applyFill="1" applyBorder="1" applyAlignment="1">
      <x:alignment vertical="top"/>
    </x:xf>
    <x:xf numFmtId="205" fontId="7" fillId="6" borderId="0" xfId="0" applyNumberFormat="1" applyFont="1" applyFill="1" applyBorder="1" applyAlignment="1">
      <x:alignment vertical="top"/>
    </x:xf>
    <x:xf numFmtId="205" fontId="7" fillId="6" borderId="0" xfId="0" applyNumberFormat="1" applyFont="1" applyFill="1" applyBorder="1" applyAlignment="1">
      <x:alignment horizontal="left" vertical="top"/>
    </x:xf>
    <x:xf numFmtId="205" fontId="7" fillId="6" borderId="0" xfId="0" applyNumberFormat="1" applyFont="1" applyFill="1" applyBorder="1" applyAlignment="1">
      <x:alignment horizontal="left" vertical="center"/>
    </x:xf>
    <x:xf numFmtId="0" fontId="0" fillId="12" borderId="0" xfId="0" applyNumberFormat="1" applyFont="1" applyFill="1" applyBorder="1" applyAlignment="1">
      <x:alignment vertical="top"/>
    </x:xf>
    <x:xf numFmtId="0" fontId="3" fillId="12" borderId="0" xfId="0" applyNumberFormat="1" applyFont="1" applyFill="1" applyBorder="1" applyAlignment="1">
      <x:alignment vertical="top"/>
    </x:xf>
    <x:xf numFmtId="0" fontId="3" fillId="12" borderId="0" xfId="0" applyNumberFormat="1" applyFont="1" applyFill="1" applyBorder="1" applyAlignment="1">
      <x:alignment vertical="top" wrapText="1"/>
    </x:xf>
    <x:xf numFmtId="0" fontId="1" fillId="22" borderId="0" xfId="0" applyNumberFormat="1" applyFont="1" applyFill="1" applyBorder="1" applyAlignment="1">
      <x:alignment horizontal="left" vertical="center"/>
    </x:xf>
    <x:xf numFmtId="0" fontId="2" fillId="23" borderId="0" xfId="0" applyNumberFormat="1" applyFont="1" applyFill="1" applyBorder="1" applyAlignment="1">
      <x:alignment vertical="center" wrapText="1"/>
    </x:xf>
    <x:xf numFmtId="0" fontId="6" fillId="23" borderId="0" xfId="0" applyNumberFormat="1" applyFont="1" applyFill="1" applyBorder="1" applyAlignment="1">
      <x:alignment horizontal="left" vertical="center" wrapText="1"/>
    </x:xf>
    <x:xf numFmtId="0" fontId="16" fillId="23" borderId="0" xfId="0" applyNumberFormat="1" applyFont="1" applyFill="1" applyBorder="1" applyAlignment="1">
      <x:alignment vertical="center" wrapText="1"/>
    </x:xf>
    <x:xf numFmtId="0" fontId="20" fillId="23" borderId="0" xfId="0" applyNumberFormat="1" applyFont="1" applyFill="1" applyBorder="1" applyAlignment="1">
      <x:alignment horizontal="left" vertical="center" wrapText="1"/>
    </x:xf>
    <x:xf numFmtId="0" fontId="20" fillId="23" borderId="0" xfId="0" applyNumberFormat="1" applyFont="1" applyFill="1" applyBorder="1" applyAlignment="1">
      <x:alignment vertical="center" wrapText="1"/>
    </x:xf>
    <x:xf numFmtId="0" fontId="7" fillId="24" borderId="0" xfId="0" applyNumberFormat="1" applyFont="1" applyFill="1" applyBorder="1" applyAlignment="1">
      <x:alignment horizontal="left" vertical="center" wrapText="1"/>
    </x:xf>
    <x:xf numFmtId="0" fontId="7" fillId="24" borderId="0" xfId="0" applyNumberFormat="1" applyFont="1" applyFill="1" applyBorder="1" applyAlignment="1">
      <x:alignment horizontal="left" vertical="center"/>
    </x:xf>
    <x:xf numFmtId="0" fontId="3" fillId="22" borderId="0" xfId="0" applyNumberFormat="1" applyFont="1" applyFill="1" applyBorder="1" applyAlignment="1">
      <x:alignment horizontal="center" vertical="center" wrapText="1"/>
    </x:xf>
    <x:xf numFmtId="205" fontId="3" fillId="22" borderId="0" xfId="0" applyNumberFormat="1" applyFont="1" applyFill="1" applyBorder="1" applyAlignment="1">
      <x:alignment horizontal="center" vertical="center" wrapText="1"/>
    </x:xf>
    <x:xf numFmtId="203" fontId="3" fillId="22" borderId="0" xfId="0" applyNumberFormat="1" applyFont="1" applyFill="1" applyBorder="1" applyAlignment="1">
      <x:alignment horizontal="center" vertical="center" wrapText="1"/>
    </x:xf>
    <x:xf numFmtId="200" fontId="7" fillId="24" borderId="0" xfId="0" applyNumberFormat="1" applyFont="1" applyFill="1" applyBorder="1" applyAlignment="1">
      <x:alignment horizontal="left" vertical="center" wrapText="1"/>
    </x:xf>
    <x:xf numFmtId="200" fontId="3" fillId="22" borderId="0" xfId="0" applyNumberFormat="1" applyFont="1" applyFill="1" applyBorder="1" applyAlignment="1">
      <x:alignment horizontal="center" vertical="center" wrapText="1"/>
    </x:xf>
    <x:xf numFmtId="0" fontId="13" fillId="25" borderId="0" xfId="0" applyNumberFormat="1" applyFont="1" applyFill="1" applyBorder="1" applyAlignment="1">
      <x:alignment vertical="top" wrapText="1"/>
    </x:xf>
    <x:xf numFmtId="205" fontId="14" fillId="25" borderId="0" xfId="0" applyNumberFormat="1" applyFont="1" applyFill="1" applyBorder="1" applyAlignment="1">
      <x:alignment vertical="top" wrapText="1"/>
    </x:xf>
    <x:xf numFmtId="205" fontId="13" fillId="25" borderId="0" xfId="0" applyNumberFormat="1" applyFont="1" applyFill="1" applyBorder="1" applyAlignment="1">
      <x:alignment vertical="top" wrapText="1"/>
    </x:xf>
    <x:xf numFmtId="0" fontId="6" fillId="26" borderId="0" xfId="0" applyNumberFormat="1" applyFont="1" applyFill="1" applyBorder="1" applyAlignment="1">
      <x:alignment vertical="center" wrapText="1"/>
    </x:xf>
    <x:xf numFmtId="0" fontId="0" fillId="24" borderId="0" xfId="0" applyNumberFormat="1" applyFont="1" applyFill="1" applyBorder="1" applyAlignment="1">
      <x:alignment vertical="top"/>
    </x:xf>
    <x:xf numFmtId="205" fontId="11" fillId="24" borderId="0" xfId="0" applyNumberFormat="1" applyFont="1" applyFill="1" applyBorder="1" applyAlignment="1">
      <x:alignment vertical="top"/>
    </x:xf>
    <x:xf numFmtId="0" fontId="7" fillId="24" borderId="0" xfId="0" applyNumberFormat="1" applyFont="1" applyFill="1" applyBorder="1" applyAlignment="1">
      <x:alignment vertical="top"/>
    </x:xf>
    <x:xf numFmtId="205" fontId="7" fillId="24" borderId="0" xfId="0" applyNumberFormat="1" applyFont="1" applyFill="1" applyBorder="1" applyAlignment="1">
      <x:alignment vertical="top"/>
    </x:xf>
    <x:xf numFmtId="0" fontId="7" fillId="24" borderId="0" xfId="0" applyNumberFormat="1" applyFont="1" applyFill="1" applyBorder="1" applyAlignment="1">
      <x:alignment vertical="top" wrapText="1"/>
    </x:xf>
    <x:xf numFmtId="205" fontId="7" fillId="24" borderId="0" xfId="0" applyNumberFormat="1" applyFont="1" applyFill="1" applyBorder="1" applyAlignment="1">
      <x:alignment vertical="top" wrapText="1"/>
    </x:xf>
    <x:xf numFmtId="0" fontId="7" fillId="24" borderId="0" xfId="0" applyNumberFormat="1" applyFont="1" applyFill="1" applyBorder="1" applyAlignment="1">
      <x:alignment vertical="center" wrapText="1"/>
    </x:xf>
    <x:xf numFmtId="205" fontId="7" fillId="24" borderId="0" xfId="0" applyNumberFormat="1" applyFont="1" applyFill="1" applyBorder="1" applyAlignment="1">
      <x:alignment vertical="center" wrapText="1"/>
    </x:xf>
    <x:xf numFmtId="0" fontId="7" fillId="27" borderId="0" xfId="0" applyNumberFormat="1" applyFont="1" applyFill="1" applyBorder="1" applyAlignment="1">
      <x:alignment horizontal="left" vertical="center"/>
    </x:xf>
    <x:xf numFmtId="205" fontId="7" fillId="27" borderId="0" xfId="0" applyNumberFormat="1" applyFont="1" applyFill="1" applyBorder="1" applyAlignment="1">
      <x:alignment horizontal="left" vertical="center"/>
    </x:xf>
    <x:xf numFmtId="0" fontId="6" fillId="27" borderId="0" xfId="0" applyNumberFormat="1" applyFont="1" applyFill="1" applyBorder="1" applyAlignment="1">
      <x:alignment horizontal="left" vertical="center"/>
    </x:xf>
    <x:xf numFmtId="205" fontId="6" fillId="27" borderId="0" xfId="0" applyNumberFormat="1" applyFont="1" applyFill="1" applyBorder="1" applyAlignment="1">
      <x:alignment horizontal="left" vertical="center"/>
    </x:xf>
    <x:xf numFmtId="0" fontId="6" fillId="27" borderId="0" xfId="0" applyNumberFormat="1" applyFont="1" applyFill="1" applyBorder="1" applyAlignment="1">
      <x:alignment horizontal="left" vertical="center" wrapText="1"/>
    </x:xf>
    <x:xf numFmtId="205" fontId="6" fillId="27" borderId="0" xfId="0" applyNumberFormat="1" applyFont="1" applyFill="1" applyBorder="1" applyAlignment="1">
      <x:alignment horizontal="left" vertical="center" wrapText="1"/>
    </x:xf>
    <x:xf numFmtId="0" fontId="6" fillId="27" borderId="0" xfId="0" applyNumberFormat="1" applyFont="1" applyFill="1" applyBorder="1" applyAlignment="1">
      <x:alignment vertical="top" wrapText="1"/>
    </x:xf>
    <x:xf numFmtId="205" fontId="11" fillId="27" borderId="0" xfId="0" applyNumberFormat="1" applyFont="1" applyFill="1" applyBorder="1" applyAlignment="1">
      <x:alignment vertical="top" wrapText="1"/>
    </x:xf>
    <x:xf numFmtId="205" fontId="6" fillId="27" borderId="0" xfId="0" applyNumberFormat="1" applyFont="1" applyFill="1" applyBorder="1" applyAlignment="1">
      <x:alignment vertical="top" wrapText="1"/>
    </x:xf>
    <x:xf numFmtId="0" fontId="6" fillId="27" borderId="0" xfId="0" applyNumberFormat="1" applyFont="1" applyFill="1" applyBorder="1" applyAlignment="1">
      <x:alignment vertical="center" wrapText="1"/>
    </x:xf>
    <x:xf numFmtId="205" fontId="6" fillId="27" borderId="0" xfId="0" applyNumberFormat="1" applyFont="1" applyFill="1" applyBorder="1" applyAlignment="1">
      <x:alignment vertical="center" wrapText="1"/>
    </x:xf>
    <x:xf numFmtId="0" fontId="0" fillId="27" borderId="0" xfId="0" applyNumberFormat="1" applyFont="1" applyFill="1" applyBorder="1" applyAlignment="1">
      <x:alignment vertical="top" wrapText="1"/>
    </x:xf>
    <x:xf numFmtId="0" fontId="0" fillId="28" borderId="0" xfId="0" applyNumberFormat="1" applyFont="1" applyFill="1" applyBorder="1" applyAlignment="1">
      <x:alignment vertical="top"/>
    </x:xf>
    <x:xf numFmtId="0" fontId="3" fillId="28" borderId="0" xfId="0" applyNumberFormat="1" applyFont="1" applyFill="1" applyBorder="1" applyAlignment="1">
      <x:alignment vertical="top"/>
    </x:xf>
    <x:xf numFmtId="0" fontId="3" fillId="28" borderId="0" xfId="0" applyNumberFormat="1" applyFont="1" applyFill="1" applyBorder="1" applyAlignment="1">
      <x:alignment vertical="top" wrapText="1"/>
    </x:xf>
    <x:xf numFmtId="0" fontId="3" fillId="28" borderId="0" xfId="0" applyNumberFormat="1" applyFont="1" applyFill="1" applyBorder="1" applyAlignment="1">
      <x:alignment horizontal="center" vertical="top" wrapText="1"/>
    </x:xf>
    <x:xf numFmtId="0" fontId="3" fillId="28" borderId="0" xfId="0" applyNumberFormat="1" applyFont="1" applyFill="1" applyBorder="1" applyAlignment="1">
      <x:alignment horizontal="center" vertical="center" wrapText="1"/>
    </x:xf>
    <x:xf numFmtId="205" fontId="3" fillId="12" borderId="0" xfId="0" applyNumberFormat="1" applyFont="1" applyFill="1" applyBorder="1" applyAlignment="1">
      <x:alignment horizontal="center" vertical="center" wrapText="1"/>
    </x:xf>
    <x:xf numFmtId="205" fontId="21" fillId="12" borderId="0" xfId="0" applyNumberFormat="1" applyFont="1" applyFill="1" applyBorder="1" applyAlignment="1">
      <x:alignment horizontal="center" vertical="center" wrapText="1"/>
    </x:xf>
    <x:xf numFmtId="0" fontId="8" fillId="29" borderId="0" xfId="0" applyNumberFormat="1" applyFont="1" applyFill="1" applyBorder="1" applyAlignment="1">
      <x:alignment vertical="top" wrapText="1"/>
    </x:xf>
    <x:xf numFmtId="0" fontId="4" fillId="29" borderId="0" xfId="0" applyNumberFormat="1" applyFont="1" applyFill="1" applyBorder="1" applyAlignment="1">
      <x:alignment vertical="top" wrapText="1"/>
    </x:xf>
    <x:xf numFmtId="203" fontId="4" fillId="29" borderId="0" xfId="0" applyNumberFormat="1" applyFont="1" applyFill="1" applyBorder="1" applyAlignment="1">
      <x:alignment vertical="top" wrapText="1"/>
    </x:xf>
    <x:xf numFmtId="202" fontId="4" fillId="29" borderId="0" xfId="0" applyNumberFormat="1" applyFont="1" applyFill="1" applyBorder="1" applyAlignment="1">
      <x:alignment vertical="top" wrapText="1"/>
    </x:xf>
    <x:xf numFmtId="203" fontId="14" fillId="29" borderId="0" xfId="0" applyNumberFormat="1" applyFont="1" applyFill="1" applyBorder="1" applyAlignment="1">
      <x:alignment vertical="top" wrapText="1"/>
    </x:xf>
    <x:xf numFmtId="0" fontId="8" fillId="30" borderId="0" xfId="0" applyNumberFormat="1" applyFont="1" applyFill="1" applyBorder="1" applyAlignment="1">
      <x:alignment vertical="top" wrapText="1"/>
    </x:xf>
    <x:xf numFmtId="203" fontId="8" fillId="30" borderId="0" xfId="0" applyNumberFormat="1" applyFont="1" applyFill="1" applyBorder="1" applyAlignment="1">
      <x:alignment vertical="top" wrapText="1"/>
    </x:xf>
    <x:xf numFmtId="202" fontId="8" fillId="30" borderId="0" xfId="0" applyNumberFormat="1" applyFont="1" applyFill="1" applyBorder="1" applyAlignment="1">
      <x:alignment vertical="top" wrapText="1"/>
    </x:xf>
    <x:xf numFmtId="203" fontId="14" fillId="30" borderId="0" xfId="0" applyNumberFormat="1" applyFont="1" applyFill="1" applyBorder="1" applyAlignment="1">
      <x:alignment vertical="top" wrapText="1"/>
    </x:xf>
    <x:xf numFmtId="0" fontId="8" fillId="30" borderId="0" xfId="0" applyNumberFormat="1" applyFont="1" applyFill="1" applyBorder="1" applyAlignment="1">
      <x:alignment vertical="center" wrapText="1"/>
    </x:xf>
    <x:xf numFmtId="203" fontId="8" fillId="30" borderId="0" xfId="0" applyNumberFormat="1" applyFont="1" applyFill="1" applyBorder="1" applyAlignment="1">
      <x:alignment vertical="center" wrapText="1"/>
    </x:xf>
    <x:xf numFmtId="202" fontId="8" fillId="30" borderId="0" xfId="0" applyNumberFormat="1" applyFont="1" applyFill="1" applyBorder="1" applyAlignment="1">
      <x:alignment vertical="center" wrapText="1"/>
    </x:xf>
    <x:xf numFmtId="203" fontId="14" fillId="30" borderId="0" xfId="0" applyNumberFormat="1" applyFont="1" applyFill="1" applyBorder="1" applyAlignment="1">
      <x:alignment vertical="center" wrapText="1"/>
    </x:xf>
    <x:xf numFmtId="0" fontId="0" fillId="22" borderId="0" xfId="0" applyNumberFormat="1" applyFont="1" applyFill="1" applyBorder="1"/>
    <x:xf numFmtId="0" fontId="3" fillId="22" borderId="0" xfId="0" applyNumberFormat="1" applyFont="1" applyFill="1" applyBorder="1"/>
    <x:xf numFmtId="0" fontId="3" fillId="22" borderId="0" xfId="0" applyNumberFormat="1" applyFont="1" applyFill="1" applyBorder="1" applyAlignment="1">
      <x:alignment wrapText="1"/>
    </x:xf>
    <x:xf numFmtId="0" fontId="3" fillId="22" borderId="0" xfId="0" applyNumberFormat="1" applyFont="1" applyFill="1" applyBorder="1" applyAlignment="1">
      <x:alignment horizontal="center" wrapText="1"/>
    </x:xf>
    <x:xf numFmtId="203" fontId="9" fillId="0" borderId="0" xfId="0" applyNumberFormat="1" applyFont="1" applyFill="1" applyBorder="1" applyAlignment="1">
      <x:alignment vertical="center" wrapText="1"/>
    </x:xf>
    <x:xf numFmtId="203" fontId="0" fillId="0" borderId="0" xfId="0" applyNumberFormat="1" applyFont="1" applyFill="1" applyBorder="1" applyAlignment="1">
      <x:alignment vertical="center" wrapText="1"/>
    </x:xf>
    <x:xf numFmtId="203" fontId="11" fillId="0" borderId="0" xfId="0" applyNumberFormat="1" applyFont="1" applyFill="1" applyBorder="1" applyAlignment="1">
      <x:alignment vertical="center" wrapText="1"/>
    </x:xf>
    <x:xf numFmtId="203" fontId="14" fillId="9" borderId="0" xfId="0" applyNumberFormat="1" applyFont="1" applyFill="1" applyBorder="1" applyAlignment="1">
      <x:alignment vertical="center" wrapText="1"/>
    </x:xf>
    <x:xf numFmtId="0" fontId="8" fillId="26" borderId="0" xfId="0" applyNumberFormat="1" applyFont="1" applyFill="1" applyBorder="1" applyAlignment="1">
      <x:alignment vertical="center" wrapText="1"/>
    </x:xf>
    <x:xf numFmtId="203" fontId="8" fillId="26" borderId="0" xfId="0" applyNumberFormat="1" applyFont="1" applyFill="1" applyBorder="1" applyAlignment="1">
      <x:alignment vertical="center" wrapText="1"/>
    </x:xf>
    <x:xf numFmtId="203" fontId="14" fillId="26" borderId="0" xfId="0" applyNumberFormat="1" applyFont="1" applyFill="1" applyBorder="1" applyAlignment="1">
      <x:alignment vertical="center" wrapText="1"/>
    </x:xf>
    <x:xf numFmtId="0" fontId="0" fillId="26" borderId="0" xfId="0" applyNumberFormat="1" applyFont="1" applyFill="1" applyBorder="1" applyAlignment="1">
      <x:alignment vertical="center" wrapText="1"/>
    </x:xf>
    <x:xf numFmtId="0" fontId="0" fillId="22" borderId="0" xfId="0" applyNumberFormat="1" applyFont="1" applyFill="1" applyBorder="1" applyAlignment="1">
      <x:alignment wrapText="1"/>
    </x:xf>
    <x:xf numFmtId="0" fontId="20" fillId="3" borderId="0" xfId="0" applyNumberFormat="1" applyFont="1" applyFill="1" applyBorder="1" applyAlignment="1">
      <x:alignment horizontal="left" vertical="center" wrapText="1"/>
    </x:xf>
    <x:xf numFmtId="0" fontId="20" fillId="3" borderId="0" xfId="0" applyNumberFormat="1" applyFont="1" applyFill="1" applyBorder="1" applyAlignment="1">
      <x:alignment vertical="center" wrapText="1"/>
    </x:xf>
    <x:xf numFmtId="205" fontId="7" fillId="6" borderId="0" xfId="0" applyNumberFormat="1" applyFont="1" applyFill="1" applyBorder="1" applyAlignment="1">
      <x:alignment vertical="top" wrapText="1"/>
    </x:xf>
    <x:xf numFmtId="205" fontId="7" fillId="6" borderId="0" xfId="0" applyNumberFormat="1" applyFont="1" applyFill="1" applyBorder="1" applyAlignment="1">
      <x:alignment vertical="center" wrapText="1"/>
    </x:xf>
    <x:xf numFmtId="0" fontId="7" fillId="5" borderId="0" xfId="0" applyNumberFormat="1" applyFont="1" applyFill="1" applyBorder="1" applyAlignment="1">
      <x:alignment horizontal="left" vertical="center"/>
    </x:xf>
    <x:xf numFmtId="205" fontId="7" fillId="5" borderId="0" xfId="0" applyNumberFormat="1" applyFont="1" applyFill="1" applyBorder="1" applyAlignment="1">
      <x:alignment horizontal="left" vertical="center"/>
    </x:xf>
    <x:xf numFmtId="0" fontId="6" fillId="5" borderId="0" xfId="0" applyNumberFormat="1" applyFont="1" applyFill="1" applyBorder="1" applyAlignment="1">
      <x:alignment horizontal="left" vertical="center"/>
    </x:xf>
    <x:xf numFmtId="205" fontId="6" fillId="5" borderId="0" xfId="0" applyNumberFormat="1" applyFont="1" applyFill="1" applyBorder="1" applyAlignment="1">
      <x:alignment horizontal="left" vertical="center"/>
    </x:xf>
    <x:xf numFmtId="0" fontId="6" fillId="5" borderId="0" xfId="0" applyNumberFormat="1" applyFont="1" applyFill="1" applyBorder="1" applyAlignment="1">
      <x:alignment horizontal="left" vertical="center" wrapText="1"/>
    </x:xf>
    <x:xf numFmtId="205" fontId="6" fillId="5" borderId="0" xfId="0" applyNumberFormat="1" applyFont="1" applyFill="1" applyBorder="1" applyAlignment="1">
      <x:alignment horizontal="left" vertical="center" wrapText="1"/>
    </x:xf>
    <x:xf numFmtId="205" fontId="6" fillId="5" borderId="0" xfId="0" applyNumberFormat="1" applyFont="1" applyFill="1" applyBorder="1" applyAlignment="1">
      <x:alignment vertical="top" wrapText="1"/>
    </x:xf>
    <x:xf numFmtId="205" fontId="6" fillId="5" borderId="0" xfId="0" applyNumberFormat="1" applyFont="1" applyFill="1" applyBorder="1" applyAlignment="1">
      <x:alignment vertical="center" wrapText="1"/>
    </x:xf>
    <x:xf numFmtId="0" fontId="8" fillId="4" borderId="0" xfId="0" applyNumberFormat="1" applyFont="1" applyFill="1" applyBorder="1" applyAlignment="1">
      <x:alignment vertical="top" wrapText="1"/>
    </x:xf>
    <x:xf numFmtId="203" fontId="4" fillId="4" borderId="0" xfId="0" applyNumberFormat="1" applyFont="1" applyFill="1" applyBorder="1" applyAlignment="1">
      <x:alignment vertical="top" wrapText="1"/>
    </x:xf>
    <x:xf numFmtId="202" fontId="4" fillId="4" borderId="0" xfId="0" applyNumberFormat="1" applyFont="1" applyFill="1" applyBorder="1" applyAlignment="1">
      <x:alignment vertical="top" wrapText="1"/>
    </x:xf>
    <x:xf numFmtId="203" fontId="14" fillId="4" borderId="0" xfId="0" applyNumberFormat="1" applyFont="1" applyFill="1" applyBorder="1" applyAlignment="1">
      <x:alignment vertical="top" wrapText="1"/>
    </x:xf>
    <x:xf numFmtId="0" fontId="0" fillId="2" borderId="0" xfId="0" applyNumberFormat="1" applyFont="1" applyFill="1" applyBorder="1" applyAlignment="1">
      <x:alignment wrapText="1"/>
    </x:xf>
    <x:xf numFmtId="0" fontId="5" fillId="31" borderId="0" xfId="0" applyNumberFormat="1" applyFont="1" applyFill="1" applyBorder="1" applyAlignment="1">
      <x:alignment vertical="top" wrapText="1"/>
    </x:xf>
    <x:xf numFmtId="0" fontId="9" fillId="31" borderId="0" xfId="0" applyNumberFormat="1" applyFont="1" applyFill="1" applyBorder="1" applyAlignment="1">
      <x:alignment vertical="top" wrapText="1"/>
    </x:xf>
    <x:xf numFmtId="0" fontId="9" fillId="32" borderId="0" xfId="0" applyNumberFormat="1" applyFont="1" applyFill="1" applyBorder="1" applyAlignment="1">
      <x:alignment vertical="top" wrapText="1"/>
    </x:xf>
    <x:xf numFmtId="208" fontId="5" fillId="31" borderId="0" xfId="0" applyNumberFormat="1" applyFont="1" applyFill="1" applyBorder="1" applyAlignment="1">
      <x:alignment vertical="top" wrapText="1"/>
    </x:xf>
    <x:xf numFmtId="209" fontId="5" fillId="31" borderId="0" xfId="0" applyNumberFormat="1" applyFont="1" applyFill="1" applyBorder="1" applyAlignment="1">
      <x:alignment vertical="top" wrapText="1"/>
    </x:xf>
    <x:xf numFmtId="207" fontId="5" fillId="31" borderId="0" xfId="0" applyNumberFormat="1" applyFont="1" applyFill="1" applyBorder="1" applyAlignment="1">
      <x:alignment vertical="top" wrapText="1"/>
    </x:xf>
    <x:xf numFmtId="203" fontId="5" fillId="31" borderId="0" xfId="0" applyNumberFormat="1" applyFont="1" applyFill="1" applyBorder="1" applyAlignment="1">
      <x:alignment vertical="top" wrapText="1"/>
    </x:xf>
    <x:xf numFmtId="0" fontId="0" fillId="32" borderId="0" xfId="0" applyNumberFormat="1" applyFont="1" applyFill="1" applyBorder="1" applyAlignment="1">
      <x:alignment vertical="top" wrapText="1"/>
    </x:xf>
    <x:xf numFmtId="0" fontId="6" fillId="32" borderId="0" xfId="0" applyNumberFormat="1" applyFont="1" applyFill="1" applyBorder="1" applyAlignment="1">
      <x:alignment vertical="top" wrapText="1"/>
    </x:xf>
    <x:xf numFmtId="203" fontId="5" fillId="32" borderId="0" xfId="0" applyNumberFormat="1" applyFont="1" applyFill="1" applyBorder="1" applyAlignment="1">
      <x:alignment vertical="top" wrapText="1"/>
    </x:xf>
    <x:xf numFmtId="208" fontId="5" fillId="32" borderId="0" xfId="0" applyNumberFormat="1" applyFont="1" applyFill="1" applyBorder="1" applyAlignment="1">
      <x:alignment vertical="top" wrapText="1"/>
    </x:xf>
    <x:xf numFmtId="0" fontId="4" fillId="31" borderId="0" xfId="0" applyNumberFormat="1" applyFont="1" applyFill="1" applyBorder="1" applyAlignment="1">
      <x:alignment vertical="top" wrapText="1"/>
    </x:xf>
    <x:xf numFmtId="0" fontId="0" fillId="31" borderId="0" xfId="0" applyNumberFormat="1" applyFont="1" applyFill="1" applyBorder="1" applyAlignment="1">
      <x:alignment vertical="top" wrapText="1"/>
    </x:xf>
    <x:xf numFmtId="0" fontId="0" fillId="33" borderId="0" xfId="0" applyNumberFormat="1" applyFont="1" applyFill="1" applyBorder="1"/>
    <x:xf numFmtId="0" fontId="1" fillId="33" borderId="0" xfId="0" applyNumberFormat="1" applyFont="1" applyFill="1" applyBorder="1"/>
    <x:xf numFmtId="0" fontId="1" fillId="33" borderId="0" xfId="0" applyNumberFormat="1" applyFont="1" applyFill="1" applyBorder="1" applyAlignment="1">
      <x:alignment vertical="center"/>
    </x:xf>
    <x:xf numFmtId="0" fontId="0" fillId="34" borderId="0" xfId="0" applyNumberFormat="1" applyFont="1" applyFill="1" applyBorder="1"/>
    <x:xf numFmtId="0" fontId="2" fillId="34" borderId="0" xfId="0" applyNumberFormat="1" applyFont="1" applyFill="1" applyBorder="1"/>
    <x:xf numFmtId="0" fontId="2" fillId="34" borderId="0" xfId="0" applyNumberFormat="1" applyFont="1" applyFill="1" applyBorder="1" applyAlignment="1">
      <x:alignment wrapText="1"/>
    </x:xf>
    <x:xf numFmtId="0" fontId="2" fillId="34" borderId="0" xfId="0" applyNumberFormat="1" applyFont="1" applyFill="1" applyBorder="1" applyAlignment="1">
      <x:alignment vertical="center" wrapText="1"/>
    </x:xf>
    <x:xf numFmtId="0" fontId="0" fillId="35" borderId="0" xfId="0" applyNumberFormat="1" applyFont="1" applyFill="1" applyBorder="1"/>
    <x:xf numFmtId="0" fontId="7" fillId="35" borderId="0" xfId="0" applyNumberFormat="1" applyFont="1" applyFill="1" applyBorder="1"/>
    <x:xf numFmtId="0" fontId="7" fillId="35" borderId="0" xfId="0" applyNumberFormat="1" applyFont="1" applyFill="1" applyBorder="1" applyAlignment="1">
      <x:alignment wrapText="1"/>
    </x:xf>
    <x:xf numFmtId="0" fontId="7" fillId="35" borderId="0" xfId="0" applyNumberFormat="1" applyFont="1" applyFill="1" applyBorder="1" applyAlignment="1">
      <x:alignment vertical="center" wrapText="1"/>
    </x:xf>
    <x:xf numFmtId="0" fontId="22" fillId="33" borderId="0" xfId="0" applyNumberFormat="1" applyFont="1" applyFill="1" applyBorder="1"/>
    <x:xf numFmtId="0" fontId="22" fillId="33" borderId="0" xfId="0" applyNumberFormat="1" applyFont="1" applyFill="1" applyBorder="1" applyAlignment="1">
      <x:alignment wrapText="1"/>
    </x:xf>
    <x:xf numFmtId="0" fontId="22" fillId="33" borderId="0" xfId="0" applyNumberFormat="1" applyFont="1" applyFill="1" applyBorder="1" applyAlignment="1">
      <x:alignment horizontal="center" wrapText="1"/>
    </x:xf>
    <x:xf numFmtId="0" fontId="22" fillId="33" borderId="0" xfId="0" applyNumberFormat="1" applyFont="1" applyFill="1" applyBorder="1" applyAlignment="1">
      <x:alignment horizontal="center" vertical="center" wrapText="1"/>
    </x:xf>
    <x:xf numFmtId="203" fontId="5" fillId="31" borderId="0" xfId="0" applyNumberFormat="1" applyFont="1" applyFill="1" applyBorder="1"/>
    <x:xf numFmtId="0" fontId="0" fillId="36" borderId="0" xfId="0" applyNumberFormat="1" applyFont="1" applyFill="1" applyBorder="1" applyAlignment="1">
      <x:alignment wrapText="1"/>
    </x:xf>
    <x:xf numFmtId="200" fontId="11" fillId="36" borderId="0" xfId="0" applyNumberFormat="1" applyFont="1" applyFill="1" applyBorder="1" applyAlignment="1">
      <x:alignment wrapText="1"/>
    </x:xf>
    <x:xf numFmtId="202" fontId="11" fillId="36" borderId="0" xfId="0" applyNumberFormat="1" applyFont="1" applyFill="1" applyBorder="1" applyAlignment="1">
      <x:alignment wrapText="1"/>
    </x:xf>
    <x:xf numFmtId="205" fontId="11" fillId="36" borderId="0" xfId="0" applyNumberFormat="1" applyFont="1" applyFill="1" applyBorder="1" applyAlignment="1">
      <x:alignment wrapText="1"/>
    </x:xf>
    <x:xf numFmtId="0" fontId="11" fillId="36" borderId="0" xfId="0" applyNumberFormat="1" applyFont="1" applyFill="1" applyBorder="1" applyAlignment="1">
      <x:alignment wrapText="1"/>
    </x:xf>
    <x:xf numFmtId="203" fontId="5" fillId="31" borderId="0" xfId="0" applyNumberFormat="1" applyFont="1" applyFill="1" applyBorder="1" applyAlignment="1">
      <x:alignment wrapText="1"/>
    </x:xf>
    <x:xf numFmtId="0" fontId="0" fillId="32" borderId="0" xfId="0" applyNumberFormat="1" applyFont="1" applyFill="1" applyBorder="1"/>
    <x:xf numFmtId="0" fontId="6" fillId="32" borderId="0" xfId="0" applyNumberFormat="1" applyFont="1" applyFill="1" applyBorder="1"/>
    <x:xf numFmtId="0" fontId="6" fillId="32" borderId="0" xfId="0" applyNumberFormat="1" applyFont="1" applyFill="1" applyBorder="1" applyAlignment="1">
      <x:alignment wrapText="1"/>
    </x:xf>
    <x:xf numFmtId="0" fontId="0" fillId="32" borderId="0" xfId="0" applyNumberFormat="1" applyFont="1" applyFill="1" applyBorder="1" applyAlignment="1">
      <x:alignment wrapText="1"/>
    </x:xf>
    <x:xf numFmtId="0" fontId="6" fillId="32" borderId="0" xfId="0" applyNumberFormat="1" applyFont="1" applyFill="1" applyBorder="1" applyAlignment="1">
      <x:alignment vertical="center" wrapText="1"/>
    </x:xf>
    <x:xf numFmtId="209" fontId="5" fillId="0" borderId="0" xfId="0" applyNumberFormat="1" applyFont="1" applyFill="1" applyBorder="1"/>
    <x:xf numFmtId="202" fontId="5" fillId="31" borderId="0" xfId="0" applyNumberFormat="1" applyFont="1" applyFill="1" applyBorder="1"/>
    <x:xf numFmtId="209" fontId="5" fillId="31" borderId="0" xfId="0" applyNumberFormat="1" applyFont="1" applyFill="1" applyBorder="1"/>
    <x:xf numFmtId="202" fontId="5" fillId="31" borderId="0" xfId="0" applyNumberFormat="1" applyFont="1" applyFill="1" applyBorder="1" applyAlignment="1">
      <x:alignment wrapText="1"/>
    </x:xf>
    <x:xf numFmtId="209" fontId="5" fillId="31" borderId="0" xfId="0" applyNumberFormat="1" applyFont="1" applyFill="1" applyBorder="1" applyAlignment="1">
      <x:alignment wrapText="1"/>
    </x:xf>
    <x:xf numFmtId="211" fontId="0" fillId="0" borderId="0" xfId="0" applyNumberFormat="1" applyFont="1" applyFill="1" applyBorder="1"/>
    <x:xf numFmtId="211" fontId="5" fillId="0" borderId="0" xfId="0" applyNumberFormat="1" applyFont="1" applyFill="1" applyBorder="1"/>
    <x:xf numFmtId="0" fontId="6" fillId="34" borderId="0" xfId="0" applyNumberFormat="1" applyFont="1" applyFill="1" applyBorder="1"/>
    <x:xf numFmtId="0" fontId="6" fillId="34" borderId="0" xfId="0" applyNumberFormat="1" applyFont="1" applyFill="1" applyBorder="1" applyAlignment="1">
      <x:alignment wrapText="1"/>
    </x:xf>
    <x:xf numFmtId="0" fontId="6" fillId="34" borderId="0" xfId="0" applyNumberFormat="1" applyFont="1" applyFill="1" applyBorder="1" applyAlignment="1">
      <x:alignment vertical="center" wrapText="1"/>
    </x:xf>
    <x:xf numFmtId="209" fontId="11" fillId="0" borderId="0" xfId="0" applyNumberFormat="1" applyFont="1" applyFill="1" applyBorder="1" applyAlignment="1">
      <x:alignment wrapText="1"/>
    </x:xf>
    <x:xf numFmtId="207" fontId="0" fillId="0" borderId="0" xfId="0" applyNumberFormat="1" applyFont="1" applyFill="1" applyBorder="1"/>
    <x:xf numFmtId="206" fontId="0" fillId="0" borderId="0" xfId="0" applyNumberFormat="1" applyFont="1" applyFill="1" applyBorder="1"/>
    <x:xf numFmtId="212" fontId="0" fillId="0" borderId="0" xfId="0" applyNumberFormat="1" applyFont="1" applyFill="1" applyBorder="1"/>
    <x:xf numFmtId="211" fontId="11" fillId="0" borderId="0" xfId="0" applyNumberFormat="1" applyFont="1" applyFill="1" applyBorder="1"/>
    <x:xf numFmtId="207" fontId="11" fillId="0" borderId="0" xfId="0" applyNumberFormat="1" applyFont="1" applyFill="1" applyBorder="1"/>
    <x:xf numFmtId="206" fontId="11" fillId="0" borderId="0" xfId="0" applyNumberFormat="1" applyFont="1" applyFill="1" applyBorder="1"/>
    <x:xf numFmtId="212" fontId="11" fillId="0" borderId="0" xfId="0" applyNumberFormat="1" applyFont="1" applyFill="1" applyBorder="1"/>
    <x:xf numFmtId="0" fontId="0" fillId="37" borderId="0" xfId="0" applyNumberFormat="1" applyFont="1" applyFill="1" applyBorder="1"/>
    <x:xf numFmtId="0" fontId="8" fillId="37" borderId="0" xfId="0" applyNumberFormat="1" applyFont="1" applyFill="1" applyBorder="1"/>
    <x:xf numFmtId="0" fontId="8" fillId="37" borderId="0" xfId="0" applyNumberFormat="1" applyFont="1" applyFill="1" applyBorder="1" applyAlignment="1">
      <x:alignment wrapText="1"/>
    </x:xf>
    <x:xf numFmtId="0" fontId="8" fillId="37" borderId="0" xfId="0" applyNumberFormat="1" applyFont="1" applyFill="1" applyBorder="1" applyAlignment="1">
      <x:alignment vertical="center" wrapText="1"/>
    </x:xf>
    <x:xf numFmtId="203" fontId="8" fillId="37" borderId="0" xfId="0" applyNumberFormat="1" applyFont="1" applyFill="1" applyBorder="1" applyAlignment="1">
      <x:alignment vertical="center" wrapText="1"/>
    </x:xf>
    <x:xf numFmtId="0" fontId="0" fillId="36" borderId="0" xfId="0" applyNumberFormat="1" applyFont="1" applyFill="1" applyBorder="1"/>
    <x:xf numFmtId="0" fontId="10" fillId="36" borderId="0" xfId="0" applyNumberFormat="1" applyFont="1" applyFill="1" applyBorder="1"/>
    <x:xf numFmtId="0" fontId="10" fillId="36" borderId="0" xfId="0" applyNumberFormat="1" applyFont="1" applyFill="1" applyBorder="1" applyAlignment="1">
      <x:alignment wrapText="1"/>
    </x:xf>
    <x:xf numFmtId="203" fontId="10" fillId="36" borderId="0" xfId="0" applyNumberFormat="1" applyFont="1" applyFill="1" applyBorder="1" applyAlignment="1">
      <x:alignment wrapText="1"/>
    </x:xf>
    <x:xf numFmtId="208" fontId="0" fillId="0" borderId="0" xfId="0" applyNumberFormat="1" applyFont="1" applyFill="1" applyBorder="1"/>
    <x:xf numFmtId="200" fontId="9" fillId="0" borderId="0" xfId="0" applyNumberFormat="1" applyFont="1" applyFill="1" applyBorder="1"/>
    <x:xf numFmtId="205" fontId="9" fillId="0" borderId="0" xfId="0" applyNumberFormat="1" applyFont="1" applyFill="1" applyBorder="1"/>
    <x:xf numFmtId="207" fontId="9" fillId="0" borderId="0" xfId="0" applyNumberFormat="1" applyFont="1" applyFill="1" applyBorder="1"/>
    <x:xf numFmtId="208" fontId="0" fillId="36" borderId="0" xfId="0" applyNumberFormat="1" applyFont="1" applyFill="1" applyBorder="1"/>
    <x:xf numFmtId="200" fontId="9" fillId="36" borderId="0" xfId="0" applyNumberFormat="1" applyFont="1" applyFill="1" applyBorder="1"/>
    <x:xf numFmtId="205" fontId="9" fillId="36" borderId="0" xfId="0" applyNumberFormat="1" applyFont="1" applyFill="1" applyBorder="1"/>
    <x:xf numFmtId="207" fontId="9" fillId="36" borderId="0" xfId="0" applyNumberFormat="1" applyFont="1" applyFill="1" applyBorder="1"/>
    <x:xf numFmtId="208" fontId="9" fillId="0" borderId="0" xfId="0" applyNumberFormat="1" applyFont="1" applyFill="1" applyBorder="1"/>
    <x:xf numFmtId="202" fontId="0" fillId="36" borderId="0" xfId="0" applyNumberFormat="1" applyFont="1" applyFill="1" applyBorder="1"/>
    <x:xf numFmtId="208" fontId="9" fillId="36" borderId="0" xfId="0" applyNumberFormat="1" applyFont="1" applyFill="1" applyBorder="1"/>
    <x:xf numFmtId="0" fontId="1" fillId="33" borderId="0" xfId="0" applyNumberFormat="1" applyFont="1" applyFill="1" applyBorder="1" applyAlignment="1">
      <x:alignment vertical="center" wrapText="1"/>
    </x:xf>
    <x:xf numFmtId="211" fontId="5" fillId="0" borderId="0" xfId="0" applyNumberFormat="1" applyFont="1" applyFill="1" applyBorder="1" applyAlignment="1">
      <x:alignment wrapText="1"/>
    </x:xf>
    <x:xf numFmtId="211" fontId="11" fillId="0" borderId="0" xfId="0" applyNumberFormat="1" applyFont="1" applyFill="1" applyBorder="1" applyAlignment="1">
      <x:alignment wrapText="1"/>
    </x:xf>
    <x:xf numFmtId="207" fontId="11" fillId="0" borderId="0" xfId="0" applyNumberFormat="1" applyFont="1" applyFill="1" applyBorder="1" applyAlignment="1">
      <x:alignment wrapText="1"/>
    </x:xf>
    <x:xf numFmtId="206" fontId="11" fillId="0" borderId="0" xfId="0" applyNumberFormat="1" applyFont="1" applyFill="1" applyBorder="1" applyAlignment="1">
      <x:alignment wrapText="1"/>
    </x:xf>
    <x:xf numFmtId="212" fontId="11" fillId="0" borderId="0" xfId="0" applyNumberFormat="1" applyFont="1" applyFill="1" applyBorder="1" applyAlignment="1">
      <x:alignment wrapText="1"/>
    </x:xf>
    <x:xf numFmtId="208" fontId="0" fillId="0" borderId="0" xfId="0" applyNumberFormat="1" applyFont="1" applyFill="1" applyBorder="1" applyAlignment="1">
      <x:alignment wrapText="1"/>
    </x:xf>
    <x:xf numFmtId="200" fontId="9" fillId="0" borderId="0" xfId="0" applyNumberFormat="1" applyFont="1" applyFill="1" applyBorder="1" applyAlignment="1">
      <x:alignment wrapText="1"/>
    </x:xf>
    <x:xf numFmtId="205" fontId="9" fillId="0" borderId="0" xfId="0" applyNumberFormat="1" applyFont="1" applyFill="1" applyBorder="1" applyAlignment="1">
      <x:alignment wrapText="1"/>
    </x:xf>
    <x:xf numFmtId="207" fontId="9" fillId="0" borderId="0" xfId="0" applyNumberFormat="1" applyFont="1" applyFill="1" applyBorder="1" applyAlignment="1">
      <x:alignment wrapText="1"/>
    </x:xf>
    <x:xf numFmtId="208" fontId="0" fillId="36" borderId="0" xfId="0" applyNumberFormat="1" applyFont="1" applyFill="1" applyBorder="1" applyAlignment="1">
      <x:alignment wrapText="1"/>
    </x:xf>
    <x:xf numFmtId="200" fontId="9" fillId="36" borderId="0" xfId="0" applyNumberFormat="1" applyFont="1" applyFill="1" applyBorder="1" applyAlignment="1">
      <x:alignment wrapText="1"/>
    </x:xf>
    <x:xf numFmtId="205" fontId="9" fillId="36" borderId="0" xfId="0" applyNumberFormat="1" applyFont="1" applyFill="1" applyBorder="1" applyAlignment="1">
      <x:alignment wrapText="1"/>
    </x:xf>
    <x:xf numFmtId="207" fontId="9" fillId="36" borderId="0" xfId="0" applyNumberFormat="1" applyFont="1" applyFill="1" applyBorder="1" applyAlignment="1">
      <x:alignment wrapText="1"/>
    </x:xf>
    <x:xf numFmtId="208" fontId="9" fillId="0" borderId="0" xfId="0" applyNumberFormat="1" applyFont="1" applyFill="1" applyBorder="1" applyAlignment="1">
      <x:alignment wrapText="1"/>
    </x:xf>
    <x:xf numFmtId="202" fontId="0" fillId="36" borderId="0" xfId="0" applyNumberFormat="1" applyFont="1" applyFill="1" applyBorder="1" applyAlignment="1">
      <x:alignment wrapText="1"/>
    </x:xf>
    <x:xf numFmtId="208" fontId="9" fillId="36" borderId="0" xfId="0" applyNumberFormat="1" applyFont="1" applyFill="1" applyBorder="1" applyAlignment="1">
      <x:alignment wrapText="1"/>
    </x:xf>
    <x:xf numFmtId="0" fontId="0" fillId="31" borderId="0" xfId="0" applyNumberFormat="1" applyFont="1" applyFill="1" applyBorder="1"/>
    <x:xf numFmtId="0" fontId="13" fillId="31" borderId="0" xfId="0" applyNumberFormat="1" applyFont="1" applyFill="1" applyBorder="1"/>
    <x:xf numFmtId="0" fontId="13" fillId="31" borderId="0" xfId="0" applyNumberFormat="1" applyFont="1" applyFill="1" applyBorder="1" applyAlignment="1">
      <x:alignment wrapText="1"/>
    </x:xf>
    <x:xf numFmtId="0" fontId="6" fillId="37" borderId="0" xfId="0" applyNumberFormat="1" applyFont="1" applyFill="1" applyBorder="1"/>
    <x:xf numFmtId="0" fontId="6" fillId="37" borderId="0" xfId="0" applyNumberFormat="1" applyFont="1" applyFill="1" applyBorder="1" applyAlignment="1">
      <x:alignment wrapText="1"/>
    </x:xf>
    <x:xf numFmtId="0" fontId="6" fillId="37" borderId="0" xfId="0" applyNumberFormat="1" applyFont="1" applyFill="1" applyBorder="1" applyAlignment="1">
      <x:alignment vertical="center" wrapText="1"/>
    </x:xf>
    <x:xf numFmtId="0" fontId="0" fillId="35" borderId="0" xfId="0" applyNumberFormat="1" applyFont="1" applyFill="1" applyBorder="1" applyAlignment="1">
      <x:alignment vertical="top"/>
    </x:xf>
    <x:xf numFmtId="0" fontId="7" fillId="35" borderId="0" xfId="0" applyNumberFormat="1" applyFont="1" applyFill="1" applyBorder="1" applyAlignment="1">
      <x:alignment vertical="top"/>
    </x:xf>
    <x:xf numFmtId="0" fontId="7" fillId="35" borderId="0" xfId="0" applyNumberFormat="1" applyFont="1" applyFill="1" applyBorder="1" applyAlignment="1">
      <x:alignment vertical="top" wrapText="1"/>
    </x:xf>
    <x:xf numFmtId="0" fontId="0" fillId="32" borderId="0" xfId="0" applyNumberFormat="1" applyFont="1" applyFill="1" applyBorder="1" applyAlignment="1">
      <x:alignment vertical="top"/>
    </x:xf>
    <x:xf numFmtId="0" fontId="6" fillId="32" borderId="0" xfId="0" applyNumberFormat="1" applyFont="1" applyFill="1" applyBorder="1" applyAlignment="1">
      <x:alignment vertical="top"/>
    </x:xf>
    <x:xf numFmtId="0" fontId="0" fillId="33" borderId="0" xfId="0" applyNumberFormat="1" applyFont="1" applyFill="1" applyBorder="1" applyAlignment="1">
      <x:alignment vertical="top"/>
    </x:xf>
    <x:xf numFmtId="0" fontId="22" fillId="33" borderId="0" xfId="0" applyNumberFormat="1" applyFont="1" applyFill="1" applyBorder="1" applyAlignment="1">
      <x:alignment vertical="top"/>
    </x:xf>
    <x:xf numFmtId="0" fontId="22" fillId="33" borderId="0" xfId="0" applyNumberFormat="1" applyFont="1" applyFill="1" applyBorder="1" applyAlignment="1">
      <x:alignment vertical="top" wrapText="1"/>
    </x:xf>
    <x:xf numFmtId="0" fontId="22" fillId="33" borderId="0" xfId="0" applyNumberFormat="1" applyFont="1" applyFill="1" applyBorder="1" applyAlignment="1">
      <x:alignment horizontal="center" vertical="top" wrapText="1"/>
    </x:xf>
    <x:xf numFmtId="0" fontId="0" fillId="31" borderId="0" xfId="0" applyNumberFormat="1" applyFont="1" applyFill="1" applyBorder="1" applyAlignment="1">
      <x:alignment vertical="top"/>
    </x:xf>
    <x:xf numFmtId="0" fontId="13" fillId="31" borderId="0" xfId="0" applyNumberFormat="1" applyFont="1" applyFill="1" applyBorder="1" applyAlignment="1">
      <x:alignment vertical="top"/>
    </x:xf>
    <x:xf numFmtId="0" fontId="13" fillId="31" borderId="0" xfId="0" applyNumberFormat="1" applyFont="1" applyFill="1" applyBorder="1" applyAlignment="1">
      <x:alignment vertical="top" wrapText="1"/>
    </x:xf>
    <x:xf numFmtId="208" fontId="0" fillId="0" borderId="0" xfId="0" applyNumberFormat="1" applyFont="1" applyFill="1" applyBorder="1" applyAlignment="1">
      <x:alignment vertical="top"/>
    </x:xf>
    <x:xf numFmtId="208" fontId="11" fillId="0" borderId="0" xfId="0" applyNumberFormat="1" applyFont="1" applyFill="1" applyBorder="1" applyAlignment="1">
      <x:alignment vertical="top"/>
    </x:xf>
    <x:xf numFmtId="208" fontId="11" fillId="0" borderId="0" xfId="0" applyNumberFormat="1" applyFont="1" applyFill="1" applyBorder="1" applyAlignment="1">
      <x:alignment vertical="top" wrapText="1"/>
    </x:xf>
    <x:xf numFmtId="0" fontId="0" fillId="36" borderId="0" xfId="0" applyNumberFormat="1" applyFont="1" applyFill="1" applyBorder="1" applyAlignment="1">
      <x:alignment vertical="top" wrapText="1"/>
    </x:xf>
    <x:xf numFmtId="208" fontId="11" fillId="36" borderId="0" xfId="0" applyNumberFormat="1" applyFont="1" applyFill="1" applyBorder="1" applyAlignment="1">
      <x:alignment vertical="top" wrapText="1"/>
    </x:xf>
    <x:xf numFmtId="0" fontId="20" fillId="37" borderId="0" xfId="0" applyNumberFormat="1" applyFont="1" applyFill="1" applyBorder="1" applyAlignment="1">
      <x:alignment vertical="center" wrapText="1"/>
    </x:xf>
    <x:xf numFmtId="0" fontId="9" fillId="4" borderId="0" xfId="0" applyNumberFormat="1" applyFont="1" applyFill="1" applyBorder="1" applyAlignment="1">
      <x:alignment vertical="top" wrapText="1"/>
    </x:xf>
    <x:xf numFmtId="0" fontId="9" fillId="5" borderId="0" xfId="0" applyNumberFormat="1" applyFont="1" applyFill="1" applyBorder="1" applyAlignment="1">
      <x:alignment vertical="top" wrapText="1"/>
    </x:xf>
    <x:xf numFmtId="208" fontId="5" fillId="4" borderId="0" xfId="0" applyNumberFormat="1" applyFont="1" applyFill="1" applyBorder="1" applyAlignment="1">
      <x:alignment vertical="top" wrapText="1"/>
    </x:xf>
    <x:xf numFmtId="209" fontId="5" fillId="4" borderId="0" xfId="0" applyNumberFormat="1" applyFont="1" applyFill="1" applyBorder="1" applyAlignment="1">
      <x:alignment vertical="top" wrapText="1"/>
    </x:xf>
    <x:xf numFmtId="207" fontId="5" fillId="4" borderId="0" xfId="0" applyNumberFormat="1" applyFont="1" applyFill="1" applyBorder="1" applyAlignment="1">
      <x:alignment vertical="top" wrapText="1"/>
    </x:xf>
    <x:xf numFmtId="203" fontId="5" fillId="5" borderId="0" xfId="0" applyNumberFormat="1" applyFont="1" applyFill="1" applyBorder="1" applyAlignment="1">
      <x:alignment vertical="top" wrapText="1"/>
    </x:xf>
    <x:xf numFmtId="208" fontId="5" fillId="5" borderId="0" xfId="0" applyNumberFormat="1" applyFont="1" applyFill="1" applyBorder="1" applyAlignment="1">
      <x:alignment vertical="top" wrapText="1"/>
    </x:xf>
    <x:xf numFmtId="0" fontId="1" fillId="2" borderId="0" xfId="0" applyNumberFormat="1" applyFont="1" applyFill="1" applyBorder="1" applyAlignment="1">
      <x:alignment vertical="center"/>
    </x:xf>
    <x:xf numFmtId="0" fontId="7" fillId="6" borderId="0" xfId="0" applyNumberFormat="1" applyFont="1" applyFill="1" applyBorder="1" applyAlignment="1">
      <x:alignment wrapText="1"/>
    </x:xf>
    <x:xf numFmtId="0" fontId="22" fillId="2" borderId="0" xfId="0" applyNumberFormat="1" applyFont="1" applyFill="1" applyBorder="1"/>
    <x:xf numFmtId="0" fontId="22" fillId="2" borderId="0" xfId="0" applyNumberFormat="1" applyFont="1" applyFill="1" applyBorder="1" applyAlignment="1">
      <x:alignment wrapText="1"/>
    </x:xf>
    <x:xf numFmtId="0" fontId="22" fillId="2" borderId="0" xfId="0" applyNumberFormat="1" applyFont="1" applyFill="1" applyBorder="1" applyAlignment="1">
      <x:alignment horizontal="center" wrapText="1"/>
    </x:xf>
    <x:xf numFmtId="0" fontId="22" fillId="2" borderId="0" xfId="0" applyNumberFormat="1" applyFont="1" applyFill="1" applyBorder="1" applyAlignment="1">
      <x:alignment horizontal="center" vertical="center" wrapText="1"/>
    </x:xf>
    <x:xf numFmtId="200" fontId="11" fillId="7" borderId="0" xfId="0" applyNumberFormat="1" applyFont="1" applyFill="1" applyBorder="1" applyAlignment="1">
      <x:alignment wrapText="1"/>
    </x:xf>
    <x:xf numFmtId="202" fontId="11" fillId="7" borderId="0" xfId="0" applyNumberFormat="1" applyFont="1" applyFill="1" applyBorder="1" applyAlignment="1">
      <x:alignment wrapText="1"/>
    </x:xf>
    <x:xf numFmtId="205" fontId="11" fillId="7" borderId="0" xfId="0" applyNumberFormat="1" applyFont="1" applyFill="1" applyBorder="1" applyAlignment="1">
      <x:alignment wrapText="1"/>
    </x:xf>
    <x:xf numFmtId="0" fontId="11" fillId="7" borderId="0" xfId="0" applyNumberFormat="1" applyFont="1" applyFill="1" applyBorder="1" applyAlignment="1">
      <x:alignment wrapText="1"/>
    </x:xf>
    <x:xf numFmtId="0" fontId="6" fillId="5" borderId="0" xfId="0" applyNumberFormat="1" applyFont="1" applyFill="1" applyBorder="1"/>
    <x:xf numFmtId="0" fontId="6" fillId="5" borderId="0" xfId="0" applyNumberFormat="1" applyFont="1" applyFill="1" applyBorder="1" applyAlignment="1">
      <x:alignment wrapText="1"/>
    </x:xf>
    <x:xf numFmtId="209" fontId="5" fillId="4" borderId="0" xfId="0" applyNumberFormat="1" applyFont="1" applyFill="1" applyBorder="1" applyAlignment="1">
      <x:alignment wrapText="1"/>
    </x:xf>
    <x:xf numFmtId="0" fontId="6" fillId="3" borderId="0" xfId="0" applyNumberFormat="1" applyFont="1" applyFill="1" applyBorder="1"/>
    <x:xf numFmtId="0" fontId="6" fillId="3" borderId="0" xfId="0" applyNumberFormat="1" applyFont="1" applyFill="1" applyBorder="1" applyAlignment="1">
      <x:alignment wrapText="1"/>
    </x:xf>
    <x:xf numFmtId="0" fontId="6" fillId="3" borderId="0" xfId="0" applyNumberFormat="1" applyFont="1" applyFill="1" applyBorder="1" applyAlignment="1">
      <x:alignment vertical="center" wrapText="1"/>
    </x:xf>
    <x:xf numFmtId="203" fontId="10" fillId="7" borderId="0" xfId="0" applyNumberFormat="1" applyFont="1" applyFill="1" applyBorder="1" applyAlignment="1">
      <x:alignment wrapText="1"/>
    </x:xf>
    <x:xf numFmtId="208" fontId="0" fillId="7" borderId="0" xfId="0" applyNumberFormat="1" applyFont="1" applyFill="1" applyBorder="1"/>
    <x:xf numFmtId="200" fontId="9" fillId="7" borderId="0" xfId="0" applyNumberFormat="1" applyFont="1" applyFill="1" applyBorder="1"/>
    <x:xf numFmtId="205" fontId="9" fillId="7" borderId="0" xfId="0" applyNumberFormat="1" applyFont="1" applyFill="1" applyBorder="1"/>
    <x:xf numFmtId="207" fontId="9" fillId="7" borderId="0" xfId="0" applyNumberFormat="1" applyFont="1" applyFill="1" applyBorder="1"/>
    <x:xf numFmtId="202" fontId="0" fillId="7" borderId="0" xfId="0" applyNumberFormat="1" applyFont="1" applyFill="1" applyBorder="1"/>
    <x:xf numFmtId="208" fontId="9" fillId="7" borderId="0" xfId="0" applyNumberFormat="1" applyFont="1" applyFill="1" applyBorder="1"/>
    <x:xf numFmtId="0" fontId="1" fillId="2" borderId="0" xfId="0" applyNumberFormat="1" applyFont="1" applyFill="1" applyBorder="1" applyAlignment="1">
      <x:alignment vertical="center" wrapText="1"/>
    </x:xf>
    <x:xf numFmtId="208" fontId="0" fillId="7" borderId="0" xfId="0" applyNumberFormat="1" applyFont="1" applyFill="1" applyBorder="1" applyAlignment="1">
      <x:alignment wrapText="1"/>
    </x:xf>
    <x:xf numFmtId="200" fontId="9" fillId="7" borderId="0" xfId="0" applyNumberFormat="1" applyFont="1" applyFill="1" applyBorder="1" applyAlignment="1">
      <x:alignment wrapText="1"/>
    </x:xf>
    <x:xf numFmtId="205" fontId="9" fillId="7" borderId="0" xfId="0" applyNumberFormat="1" applyFont="1" applyFill="1" applyBorder="1" applyAlignment="1">
      <x:alignment wrapText="1"/>
    </x:xf>
    <x:xf numFmtId="207" fontId="9" fillId="7" borderId="0" xfId="0" applyNumberFormat="1" applyFont="1" applyFill="1" applyBorder="1" applyAlignment="1">
      <x:alignment wrapText="1"/>
    </x:xf>
    <x:xf numFmtId="202" fontId="0" fillId="7" borderId="0" xfId="0" applyNumberFormat="1" applyFont="1" applyFill="1" applyBorder="1" applyAlignment="1">
      <x:alignment wrapText="1"/>
    </x:xf>
    <x:xf numFmtId="208" fontId="9" fillId="7" borderId="0" xfId="0" applyNumberFormat="1" applyFont="1" applyFill="1" applyBorder="1" applyAlignment="1">
      <x:alignment wrapText="1"/>
    </x:xf>
    <x:xf numFmtId="0" fontId="0" fillId="4" borderId="0" xfId="0" applyNumberFormat="1" applyFont="1" applyFill="1" applyBorder="1"/>
    <x:xf numFmtId="0" fontId="13" fillId="4" borderId="0" xfId="0" applyNumberFormat="1" applyFont="1" applyFill="1" applyBorder="1"/>
    <x:xf numFmtId="0" fontId="6" fillId="9" borderId="0" xfId="0" applyNumberFormat="1" applyFont="1" applyFill="1" applyBorder="1"/>
    <x:xf numFmtId="0" fontId="6" fillId="9" borderId="0" xfId="0" applyNumberFormat="1" applyFont="1" applyFill="1" applyBorder="1" applyAlignment="1">
      <x:alignment wrapText="1"/>
    </x:xf>
    <x:xf numFmtId="0" fontId="22" fillId="2" borderId="0" xfId="0" applyNumberFormat="1" applyFont="1" applyFill="1" applyBorder="1" applyAlignment="1">
      <x:alignment vertical="top"/>
    </x:xf>
    <x:xf numFmtId="0" fontId="22" fillId="2" borderId="0" xfId="0" applyNumberFormat="1" applyFont="1" applyFill="1" applyBorder="1" applyAlignment="1">
      <x:alignment vertical="top" wrapText="1"/>
    </x:xf>
    <x:xf numFmtId="0" fontId="22" fillId="2" borderId="0" xfId="0" applyNumberFormat="1" applyFont="1" applyFill="1" applyBorder="1" applyAlignment="1">
      <x:alignment horizontal="center" vertical="top" wrapText="1"/>
    </x:xf>
    <x:xf numFmtId="0" fontId="0" fillId="4" borderId="0" xfId="0" applyNumberFormat="1" applyFont="1" applyFill="1" applyBorder="1" applyAlignment="1">
      <x:alignment vertical="top"/>
    </x:xf>
    <x:xf numFmtId="0" fontId="13" fillId="4" borderId="0" xfId="0" applyNumberFormat="1" applyFont="1" applyFill="1" applyBorder="1" applyAlignment="1">
      <x:alignment vertical="top"/>
    </x:xf>
    <x:xf numFmtId="208" fontId="11" fillId="7" borderId="0" xfId="0" applyNumberFormat="1" applyFont="1" applyFill="1" applyBorder="1" applyAlignment="1">
      <x:alignment vertical="top" wrapText="1"/>
    </x:xf>
    <x:xf numFmtId="0" fontId="20" fillId="9" borderId="0" xfId="0" applyNumberFormat="1" applyFont="1" applyFill="1" applyBorder="1" applyAlignment="1">
      <x:alignment vertical="center" wrapText="1"/>
    </x:xf>
    <x:xf numFmtId="213" fontId="11" fillId="0" borderId="0" xfId="0" applyNumberFormat="1" applyFont="1" applyFill="1" applyBorder="1" applyAlignment="1">
      <x:alignment wrapText="1"/>
    </x:xf>
    <x:xf numFmtId="201" fontId="22" fillId="2" borderId="0" xfId="0" applyNumberFormat="1" applyFont="1" applyFill="1" applyBorder="1" applyAlignment="1">
      <x:alignment horizontal="center" vertical="center" wrapText="1"/>
    </x:xf>
    <x:xf numFmtId="201" fontId="0" fillId="0" borderId="0" xfId="0" applyNumberFormat="1" applyFont="1" applyFill="1" applyBorder="1" applyAlignment="1">
      <x:alignment wrapText="1"/>
    </x:xf>
    <x:xf numFmtId="201" fontId="9" fillId="0" borderId="0" xfId="0" applyNumberFormat="1" applyFont="1" applyFill="1" applyBorder="1" applyAlignment="1">
      <x:alignment wrapText="1"/>
    </x:xf>
    <x:xf numFmtId="201" fontId="9" fillId="7" borderId="0" xfId="0" applyNumberFormat="1" applyFont="1" applyFill="1" applyBorder="1" applyAlignment="1">
      <x:alignment wrapText="1"/>
    </x:xf>
    <x:xf numFmtId="201" fontId="0" fillId="7" borderId="0" xfId="0" applyNumberFormat="1" applyFont="1" applyFill="1" applyBorder="1" applyAlignment="1">
      <x:alignment wrapText="1"/>
    </x:xf>
    <x:xf numFmtId="201" fontId="0" fillId="38" borderId="0" xfId="0" applyNumberFormat="1" applyFont="1" applyFill="1" applyBorder="1" applyAlignment="1">
      <x:alignment wrapText="1"/>
    </x:xf>
    <x:xf numFmtId="201" fontId="7" fillId="38" borderId="0" xfId="0" applyNumberFormat="1" applyFont="1" applyFill="1" applyBorder="1" applyAlignment="1">
      <x:alignment wrapText="1"/>
    </x:xf>
    <x:xf numFmtId="201" fontId="7" fillId="38" borderId="0" xfId="0" applyNumberFormat="1" applyFont="1" applyFill="1" applyBorder="1" applyAlignment="1">
      <x:alignment vertical="center" wrapText="1"/>
    </x:xf>
    <x:xf numFmtId="0" fontId="0" fillId="39" borderId="0" xfId="0" applyNumberFormat="1" applyFont="1" applyFill="1" applyBorder="1" applyAlignment="1">
      <x:alignment wrapText="1"/>
    </x:xf>
    <x:xf numFmtId="0" fontId="7" fillId="39" borderId="0" xfId="0" applyNumberFormat="1" applyFont="1" applyFill="1" applyBorder="1" applyAlignment="1">
      <x:alignment wrapText="1"/>
    </x:xf>
    <x:xf numFmtId="0" fontId="7" fillId="39" borderId="0" xfId="0" applyNumberFormat="1" applyFont="1" applyFill="1" applyBorder="1" applyAlignment="1">
      <x:alignment vertical="center" wrapText="1"/>
    </x:xf>
    <x:xf numFmtId="0" fontId="0" fillId="39" borderId="0" xfId="0" applyNumberFormat="1" applyFont="1" applyFill="1" applyBorder="1"/>
    <x:xf numFmtId="0" fontId="23" fillId="39" borderId="0" xfId="0" applyNumberFormat="1" applyFont="1" applyFill="1" applyBorder="1"/>
    <x:xf numFmtId="0" fontId="0" fillId="38" borderId="0" xfId="0" applyNumberFormat="1" applyFont="1" applyFill="1" applyBorder="1"/>
    <x:xf numFmtId="0" fontId="7" fillId="38" borderId="0" xfId="0" applyNumberFormat="1" applyFont="1" applyFill="1" applyBorder="1"/>
    <x:xf numFmtId="0" fontId="7" fillId="38" borderId="0" xfId="0" applyNumberFormat="1" applyFont="1" applyFill="1" applyBorder="1" applyAlignment="1">
      <x:alignment wrapText="1"/>
    </x:xf>
    <x:xf numFmtId="214" fontId="0" fillId="0" borderId="0" xfId="0" applyNumberFormat="1" applyFont="1" applyFill="1" applyBorder="1"/>
    <x:xf numFmtId="215" fontId="0" fillId="0" borderId="0" xfId="0" applyNumberFormat="1" applyFont="1" applyFill="1" applyBorder="1"/>
    <x:xf numFmtId="214" fontId="0" fillId="0" borderId="0" xfId="0" applyNumberFormat="1" applyFont="1" applyFill="1" applyBorder="1" applyAlignment="1">
      <x:alignment wrapText="1"/>
    </x:xf>
    <x:xf numFmtId="215" fontId="0" fillId="0" borderId="0" xfId="0" applyNumberFormat="1" applyFont="1" applyFill="1" applyBorder="1" applyAlignment="1">
      <x:alignment wrapText="1"/>
    </x:xf>
    <x:xf numFmtId="0" fontId="0" fillId="39" borderId="0" xfId="0" applyNumberFormat="1" applyFont="1" applyFill="1" applyBorder="1" applyAlignment="1">
      <x:alignment vertical="top"/>
    </x:xf>
    <x:xf numFmtId="0" fontId="23" fillId="39" borderId="0" xfId="0" applyNumberFormat="1" applyFont="1" applyFill="1" applyBorder="1" applyAlignment="1">
      <x:alignment vertical="top"/>
    </x:xf>
    <x:xf numFmtId="0" fontId="0" fillId="38" borderId="0" xfId="0" applyNumberFormat="1" applyFont="1" applyFill="1" applyBorder="1" applyAlignment="1">
      <x:alignment vertical="top"/>
    </x:xf>
    <x:xf numFmtId="0" fontId="7" fillId="38" borderId="0" xfId="0" applyNumberFormat="1" applyFont="1" applyFill="1" applyBorder="1" applyAlignment="1">
      <x:alignment vertical="top"/>
    </x:xf>
    <x:xf numFmtId="0" fontId="7" fillId="38" borderId="0" xfId="0" applyNumberFormat="1" applyFont="1" applyFill="1" applyBorder="1" applyAlignment="1">
      <x:alignment vertical="top" wrapText="1"/>
    </x:xf>
    <x:xf numFmtId="201" fontId="0" fillId="0" borderId="0" xfId="0" applyNumberFormat="1" applyFont="1" applyFill="1" applyBorder="1" applyAlignment="1">
      <x:alignment vertical="top"/>
    </x:xf>
    <x:xf numFmtId="0" fontId="23" fillId="39" borderId="0" xfId="0" applyNumberFormat="1" applyFont="1" applyFill="1" applyBorder="1" applyAlignment="1">
      <x:alignment vertical="top" wrapText="1"/>
    </x:xf>
    <x:xf numFmtId="201" fontId="0" fillId="0" borderId="0" xfId="0" applyNumberFormat="1" applyFont="1" applyFill="1" applyBorder="1" applyAlignment="1">
      <x:alignment vertical="top" wrapText="1"/>
    </x:xf>
    <x:xf numFmtId="0" fontId="0" fillId="40" borderId="0" xfId="0" applyNumberFormat="1" applyFont="1" applyFill="1" applyBorder="1"/>
    <x:xf numFmtId="0" fontId="24" fillId="40" borderId="0" xfId="0" applyNumberFormat="1" applyFont="1" applyFill="1" applyBorder="1"/>
    <x:xf numFmtId="0" fontId="24" fillId="40" borderId="0" xfId="0" applyNumberFormat="1" applyFont="1" applyFill="1" applyBorder="1" applyAlignment="1">
      <x:alignment wrapText="1"/>
    </x:xf>
    <x:xf numFmtId="216" fontId="0" fillId="0" borderId="0" xfId="0" applyNumberFormat="1" applyFont="1" applyFill="1" applyBorder="1"/>
    <x:xf numFmtId="217" fontId="0" fillId="0" borderId="0" xfId="0" applyNumberFormat="1" applyFont="1" applyFill="1" applyBorder="1"/>
    <x:xf numFmtId="218" fontId="0" fillId="0" borderId="0" xfId="0" applyNumberFormat="1" applyFont="1" applyFill="1" applyBorder="1"/>
    <x:xf numFmtId="201" fontId="0" fillId="0" borderId="0" xfId="0" applyNumberFormat="1" applyFont="1" applyFill="1" applyBorder="1"/>
    <x:xf numFmtId="0" fontId="23" fillId="39" borderId="0" xfId="0" applyNumberFormat="1" applyFont="1" applyFill="1" applyBorder="1" applyAlignment="1">
      <x:alignment wrapText="1"/>
    </x:xf>
    <x:xf numFmtId="216" fontId="0" fillId="0" borderId="0" xfId="0" applyNumberFormat="1" applyFont="1" applyFill="1" applyBorder="1" applyAlignment="1">
      <x:alignment wrapText="1"/>
    </x:xf>
    <x:xf numFmtId="217" fontId="0" fillId="0" borderId="0" xfId="0" applyNumberFormat="1" applyFont="1" applyFill="1" applyBorder="1" applyAlignment="1">
      <x:alignment wrapText="1"/>
    </x:xf>
    <x:xf numFmtId="218" fontId="0" fillId="0" borderId="0" xfId="0" applyNumberFormat="1" applyFont="1" applyFill="1" applyBorder="1" applyAlignment="1">
      <x:alignment wrapText="1"/>
    </x:xf>
    <x:xf numFmtId="214" fontId="0" fillId="0" borderId="0" xfId="0" applyNumberFormat="1" applyFont="1" applyFill="1" applyBorder="1" applyAlignment="1">
      <x:alignment vertical="top"/>
    </x:xf>
    <x:xf numFmtId="214" fontId="0" fillId="0" borderId="0" xfId="0" applyNumberFormat="1" applyFont="1" applyFill="1" applyBorder="1" applyAlignment="1">
      <x:alignment vertical="top" wrapText="1"/>
    </x:xf>
    <x:xf numFmtId="0" fontId="25" fillId="39" borderId="0" xfId="0" applyNumberFormat="1" applyFont="1" applyFill="1" applyBorder="1"/>
    <x:xf numFmtId="0" fontId="0" fillId="41" borderId="0" xfId="0" applyNumberFormat="1" applyFont="1" applyFill="1" applyBorder="1"/>
    <x:xf numFmtId="0" fontId="0" fillId="41" borderId="0" xfId="0" applyNumberFormat="1" applyFont="1" applyFill="1" applyBorder="1" applyAlignment="1">
      <x:alignment wrapText="1"/>
    </x:xf>
    <x:xf numFmtId="213" fontId="0" fillId="0" borderId="0" xfId="0" applyNumberFormat="1" applyFont="1" applyFill="1" applyBorder="1"/>
    <x:xf numFmtId="0" fontId="25" fillId="39" borderId="0" xfId="0" applyNumberFormat="1" applyFont="1" applyFill="1" applyBorder="1" applyAlignment="1">
      <x:alignment wrapText="1"/>
    </x:xf>
    <x:xf numFmtId="213" fontId="0" fillId="0" borderId="0" xfId="0" applyNumberFormat="1" applyFont="1" applyFill="1" applyBorder="1" applyAlignment="1">
      <x:alignment wrapText="1"/>
    </x:xf>
    <x:xf numFmtId="0" fontId="0" fillId="42" borderId="0" xfId="0" applyNumberFormat="1" applyFont="1" applyFill="1" applyBorder="1" applyAlignment="1">
      <x:alignment vertical="top" wrapText="1"/>
    </x:xf>
    <x:xf numFmtId="203" fontId="5" fillId="42" borderId="0" xfId="0" applyNumberFormat="1" applyFont="1" applyFill="1" applyBorder="1" applyAlignment="1">
      <x:alignment horizontal="right" vertical="top" wrapText="1"/>
    </x:xf>
    <x:xf numFmtId="0" fontId="9" fillId="42" borderId="0" xfId="0" applyNumberFormat="1" applyFont="1" applyFill="1" applyBorder="1" applyAlignment="1">
      <x:alignment vertical="top" wrapText="1"/>
    </x:xf>
    <x:xf numFmtId="203" fontId="9" fillId="42" borderId="0" xfId="0" applyNumberFormat="1" applyFont="1" applyFill="1" applyBorder="1" applyAlignment="1">
      <x:alignment horizontal="right" vertical="top" wrapText="1"/>
    </x:xf>
    <x:xf numFmtId="0" fontId="9" fillId="42" borderId="0" xfId="0" applyNumberFormat="1" applyFont="1" applyFill="1" applyBorder="1" applyAlignment="1">
      <x:alignment vertical="center" wrapText="1"/>
    </x:xf>
    <x:xf numFmtId="203" fontId="9" fillId="42" borderId="0" xfId="0" applyNumberFormat="1" applyFont="1" applyFill="1" applyBorder="1" applyAlignment="1">
      <x:alignment horizontal="right" vertical="center" wrapText="1"/>
    </x:xf>
    <x:xf numFmtId="203" fontId="9" fillId="41" borderId="0" xfId="0" applyNumberFormat="1" applyFont="1" applyFill="1" applyBorder="1" applyAlignment="1">
      <x:alignment horizontal="right" vertical="center" wrapText="1"/>
    </x:xf>
    <x:xf numFmtId="203" fontId="5" fillId="41" borderId="0" xfId="0" applyNumberFormat="1" applyFont="1" applyFill="1" applyBorder="1" applyAlignment="1">
      <x:alignment horizontal="right" vertical="center" wrapText="1"/>
    </x:xf>
    <x:xf numFmtId="213" fontId="5" fillId="41" borderId="0" xfId="0" applyNumberFormat="1" applyFont="1" applyFill="1" applyBorder="1" applyAlignment="1">
      <x:alignment horizontal="right" vertical="center" wrapText="1"/>
    </x:xf>
    <x:xf numFmtId="0" fontId="9" fillId="43" borderId="0" xfId="0" applyNumberFormat="1" applyFont="1" applyFill="1" applyBorder="1" applyAlignment="1">
      <x:alignment vertical="center" wrapText="1"/>
    </x:xf>
    <x:xf numFmtId="0" fontId="11" fillId="42" borderId="0" xfId="0" applyNumberFormat="1" applyFont="1" applyFill="1" applyBorder="1" applyAlignment="1">
      <x:alignment vertical="center" wrapText="1"/>
    </x:xf>
    <x:xf numFmtId="0" fontId="0" fillId="42" borderId="0" xfId="0" applyNumberFormat="1" applyFont="1" applyFill="1" applyBorder="1" applyAlignment="1">
      <x:alignment wrapText="1"/>
    </x:xf>
    <x:xf numFmtId="209" fontId="11" fillId="42" borderId="0" xfId="0" applyNumberFormat="1" applyFont="1" applyFill="1" applyBorder="1" applyAlignment="1">
      <x:alignment wrapText="1"/>
    </x:xf>
    <x:xf numFmtId="213" fontId="11" fillId="42" borderId="0" xfId="0" applyNumberFormat="1" applyFont="1" applyFill="1" applyBorder="1" applyAlignment="1">
      <x:alignment wrapText="1"/>
    </x:xf>
    <x:xf numFmtId="0" fontId="11" fillId="42" borderId="0" xfId="0" applyNumberFormat="1" applyFont="1" applyFill="1" applyBorder="1" applyAlignment="1">
      <x:alignment wrapText="1"/>
    </x:xf>
    <x:xf numFmtId="0" fontId="9" fillId="42" borderId="0" xfId="0" applyNumberFormat="1" applyFont="1" applyFill="1" applyBorder="1" applyAlignment="1">
      <x:alignment wrapText="1"/>
    </x:xf>
    <x:xf numFmtId="209" fontId="9" fillId="42" borderId="0" xfId="0" applyNumberFormat="1" applyFont="1" applyFill="1" applyBorder="1" applyAlignment="1">
      <x:alignment wrapText="1"/>
    </x:xf>
    <x:xf numFmtId="213" fontId="9" fillId="42" borderId="0" xfId="0" applyNumberFormat="1" applyFont="1" applyFill="1" applyBorder="1" applyAlignment="1">
      <x:alignment wrapText="1"/>
    </x:xf>
    <x:xf numFmtId="209" fontId="9" fillId="42" borderId="0" xfId="0" applyNumberFormat="1" applyFont="1" applyFill="1" applyBorder="1" applyAlignment="1">
      <x:alignment vertical="center" wrapText="1"/>
    </x:xf>
    <x:xf numFmtId="213" fontId="9" fillId="42" borderId="0" xfId="0" applyNumberFormat="1" applyFont="1" applyFill="1" applyBorder="1" applyAlignment="1">
      <x:alignment vertical="center" wrapText="1"/>
    </x:xf>
    <x:xf numFmtId="209" fontId="11" fillId="42" borderId="0" xfId="0" applyNumberFormat="1" applyFont="1" applyFill="1" applyBorder="1" applyAlignment="1">
      <x:alignment vertical="center" wrapText="1"/>
    </x:xf>
    <x:xf numFmtId="213" fontId="11" fillId="42" borderId="0" xfId="0" applyNumberFormat="1" applyFont="1" applyFill="1" applyBorder="1" applyAlignment="1">
      <x:alignment vertical="center" wrapText="1"/>
    </x:xf>
    <x:xf numFmtId="215" fontId="11" fillId="42" borderId="0" xfId="0" applyNumberFormat="1" applyFont="1" applyFill="1" applyBorder="1" applyAlignment="1">
      <x:alignment vertical="center" wrapText="1"/>
    </x:xf>
    <x:xf numFmtId="0" fontId="9" fillId="40" borderId="0" xfId="0" applyNumberFormat="1" applyFont="1" applyFill="1" applyBorder="1" applyAlignment="1">
      <x:alignment vertical="center" wrapText="1"/>
    </x:xf>
    <x:xf numFmtId="0" fontId="24" fillId="40" borderId="0" xfId="0" applyNumberFormat="1" applyFont="1" applyFill="1" applyBorder="1" applyAlignment="1">
      <x:alignment vertical="center" wrapText="1"/>
    </x:xf>
    <x:xf numFmtId="0" fontId="9" fillId="4" borderId="0" xfId="0" applyNumberFormat="1" applyFont="1" applyFill="1" applyBorder="1" applyAlignment="1">
      <x:alignment vertical="center" wrapText="1"/>
    </x:xf>
    <x:xf numFmtId="0" fontId="0" fillId="44" borderId="0" xfId="0" applyNumberFormat="1" applyFont="1" applyFill="1" applyBorder="1"/>
    <x:xf numFmtId="0" fontId="25" fillId="44" borderId="0" xfId="0" applyNumberFormat="1" applyFont="1" applyFill="1" applyBorder="1"/>
    <x:xf numFmtId="0" fontId="0" fillId="45" borderId="0" xfId="0" applyNumberFormat="1" applyFont="1" applyFill="1" applyBorder="1"/>
    <x:xf numFmtId="0" fontId="0" fillId="45" borderId="0" xfId="0" applyNumberFormat="1" applyFont="1" applyFill="1" applyBorder="1" applyAlignment="1">
      <x:alignment wrapText="1"/>
    </x:xf>
    <x:xf numFmtId="0" fontId="0" fillId="46" borderId="0" xfId="0" applyNumberFormat="1" applyFont="1" applyFill="1" applyBorder="1"/>
    <x:xf numFmtId="0" fontId="7" fillId="46" borderId="0" xfId="0" applyNumberFormat="1" applyFont="1" applyFill="1" applyBorder="1"/>
    <x:xf numFmtId="0" fontId="7" fillId="46" borderId="0" xfId="0" applyNumberFormat="1" applyFont="1" applyFill="1" applyBorder="1" applyAlignment="1">
      <x:alignment wrapText="1"/>
    </x:xf>
    <x:xf numFmtId="0" fontId="0" fillId="47" borderId="0" xfId="0" applyNumberFormat="1" applyFont="1" applyFill="1" applyBorder="1" applyAlignment="1">
      <x:alignment wrapText="1"/>
    </x:xf>
    <x:xf numFmtId="0" fontId="26" fillId="47" borderId="0" xfId="0" applyNumberFormat="1" applyFont="1" applyFill="1" applyBorder="1" applyAlignment="1">
      <x:alignment wrapText="1"/>
    </x:xf>
    <x:xf numFmtId="0" fontId="25" fillId="44" borderId="0" xfId="0" applyNumberFormat="1" applyFont="1" applyFill="1" applyBorder="1" applyAlignment="1">
      <x:alignment wrapText="1"/>
    </x:xf>
    <x:xf numFmtId="0" fontId="0" fillId="47" borderId="0" xfId="0" applyNumberFormat="1" applyFont="1" applyFill="1" applyBorder="1"/>
    <x:xf numFmtId="0" fontId="10" fillId="47" borderId="0" xfId="0" applyNumberFormat="1" applyFont="1" applyFill="1" applyBorder="1"/>
    <x:xf numFmtId="0" fontId="10" fillId="47" borderId="0" xfId="0" applyNumberFormat="1" applyFont="1" applyFill="1" applyBorder="1" applyAlignment="1">
      <x:alignment wrapText="1"/>
    </x:xf>
    <x:xf numFmtId="219" fontId="0" fillId="0" borderId="0" xfId="0" applyNumberFormat="1" applyFont="1" applyFill="1" applyBorder="1"/>
    <x:xf numFmtId="220" fontId="0" fillId="0" borderId="0" xfId="0" applyNumberFormat="1" applyFont="1" applyFill="1" applyBorder="1"/>
    <x:xf numFmtId="219" fontId="0" fillId="0" borderId="0" xfId="0" applyNumberFormat="1" applyFont="1" applyFill="1" applyBorder="1" applyAlignment="1">
      <x:alignment wrapText="1"/>
    </x:xf>
    <x:xf numFmtId="220" fontId="0" fillId="0" borderId="0" xfId="0" applyNumberFormat="1" applyFont="1" applyFill="1" applyBorder="1" applyAlignment="1">
      <x:alignment wrapText="1"/>
    </x:xf>
    <x:xf numFmtId="206" fontId="0" fillId="0" borderId="0" xfId="0" applyNumberFormat="1" applyFont="1" applyFill="1" applyBorder="1" applyAlignment="1">
      <x:alignment wrapText="1"/>
    </x:xf>
    <x:xf numFmtId="0" fontId="0" fillId="48" borderId="0" xfId="0" applyNumberFormat="1" applyFont="1" applyFill="1" applyBorder="1"/>
    <x:xf numFmtId="0" fontId="23" fillId="48" borderId="0" xfId="0" applyNumberFormat="1" applyFont="1" applyFill="1" applyBorder="1"/>
    <x:xf numFmtId="0" fontId="23" fillId="48" borderId="0" xfId="0" applyNumberFormat="1" applyFont="1" applyFill="1" applyBorder="1" applyAlignment="1">
      <x:alignment wrapText="1"/>
    </x:xf>
    <x:xf numFmtId="0" fontId="23" fillId="48" borderId="0" xfId="0" applyNumberFormat="1" applyFont="1" applyFill="1" applyBorder="1" applyAlignment="1">
      <x:alignment vertical="center" wrapText="1"/>
    </x:xf>
    <x:xf numFmtId="0" fontId="0" fillId="49" borderId="0" xfId="0" applyNumberFormat="1" applyFont="1" applyFill="1" applyBorder="1"/>
    <x:xf numFmtId="0" fontId="7" fillId="49" borderId="0" xfId="0" applyNumberFormat="1" applyFont="1" applyFill="1" applyBorder="1"/>
    <x:xf numFmtId="0" fontId="7" fillId="49" borderId="0" xfId="0" applyNumberFormat="1" applyFont="1" applyFill="1" applyBorder="1" applyAlignment="1">
      <x:alignment wrapText="1"/>
    </x:xf>
    <x:xf numFmtId="0" fontId="7" fillId="49" borderId="0" xfId="0" applyNumberFormat="1" applyFont="1" applyFill="1" applyBorder="1" applyAlignment="1">
      <x:alignment horizontal="center" wrapText="1"/>
    </x:xf>
    <x:xf numFmtId="0" fontId="7" fillId="49" borderId="0" xfId="0" applyNumberFormat="1" applyFont="1" applyFill="1" applyBorder="1" applyAlignment="1">
      <x:alignment horizontal="center" vertical="center" wrapText="1"/>
    </x:xf>
    <x:xf numFmtId="216" fontId="11" fillId="0" borderId="0" xfId="0" applyNumberFormat="1" applyFont="1" applyFill="1" applyBorder="1"/>
    <x:xf numFmtId="218" fontId="11" fillId="0" borderId="0" xfId="0" applyNumberFormat="1" applyFont="1" applyFill="1" applyBorder="1"/>
    <x:xf numFmtId="215" fontId="11" fillId="0" borderId="0" xfId="0" applyNumberFormat="1" applyFont="1" applyFill="1" applyBorder="1"/>
    <x:xf numFmtId="214" fontId="11" fillId="0" borderId="0" xfId="0" applyNumberFormat="1" applyFont="1" applyFill="1" applyBorder="1"/>
    <x:xf numFmtId="216" fontId="11" fillId="0" borderId="0" xfId="0" applyNumberFormat="1" applyFont="1" applyFill="1" applyBorder="1" applyAlignment="1">
      <x:alignment wrapText="1"/>
    </x:xf>
    <x:xf numFmtId="218" fontId="11" fillId="0" borderId="0" xfId="0" applyNumberFormat="1" applyFont="1" applyFill="1" applyBorder="1" applyAlignment="1">
      <x:alignment wrapText="1"/>
    </x:xf>
    <x:xf numFmtId="215" fontId="11" fillId="0" borderId="0" xfId="0" applyNumberFormat="1" applyFont="1" applyFill="1" applyBorder="1" applyAlignment="1">
      <x:alignment wrapText="1"/>
    </x:xf>
    <x:xf numFmtId="214" fontId="11" fillId="0" borderId="0" xfId="0" applyNumberFormat="1" applyFont="1" applyFill="1" applyBorder="1" applyAlignment="1">
      <x:alignment wrapText="1"/>
    </x:xf>
    <x:xf numFmtId="0" fontId="11" fillId="50" borderId="0" xfId="0" applyNumberFormat="1" applyFont="1" applyFill="1" applyBorder="1" applyAlignment="1">
      <x:alignment wrapText="1"/>
    </x:xf>
    <x:xf numFmtId="0" fontId="0" fillId="50" borderId="0" xfId="0" applyNumberFormat="1" applyFont="1" applyFill="1" applyBorder="1"/>
    <x:xf numFmtId="0" fontId="0" fillId="51" borderId="0" xfId="0" applyNumberFormat="1" applyFont="1" applyFill="1" applyBorder="1"/>
    <x:xf numFmtId="0" fontId="0" fillId="50" borderId="0" xfId="0" applyNumberFormat="1" applyFont="1" applyFill="1" applyBorder="1" applyAlignment="1">
      <x:alignment wrapText="1"/>
    </x:xf>
    <x:xf numFmtId="0" fontId="0" fillId="51" borderId="0" xfId="0" applyNumberFormat="1" applyFont="1" applyFill="1" applyBorder="1" applyAlignment="1">
      <x:alignment wrapText="1"/>
    </x:xf>
    <x:xf numFmtId="0" fontId="0" fillId="52" borderId="0" xfId="0" applyNumberFormat="1" applyFont="1" applyFill="1" applyBorder="1" applyAlignment="1">
      <x:alignment wrapText="1"/>
    </x:xf>
    <x:xf numFmtId="0" fontId="10" fillId="52" borderId="0" xfId="0" applyNumberFormat="1" applyFont="1" applyFill="1" applyBorder="1" applyAlignment="1">
      <x:alignment wrapText="1"/>
    </x:xf>
    <x:xf numFmtId="0" fontId="14" fillId="52" borderId="0" xfId="0" applyNumberFormat="1" applyFont="1" applyFill="1" applyBorder="1" applyAlignment="1">
      <x:alignment wrapText="1"/>
    </x:xf>
    <x:xf numFmtId="214" fontId="14" fillId="52" borderId="0" xfId="0" applyNumberFormat="1" applyFont="1" applyFill="1" applyBorder="1" applyAlignment="1">
      <x:alignment wrapText="1"/>
    </x:xf>
    <x:xf numFmtId="0" fontId="10" fillId="50" borderId="0" xfId="0" applyNumberFormat="1" applyFont="1" applyFill="1" applyBorder="1" applyAlignment="1">
      <x:alignment wrapText="1"/>
    </x:xf>
    <x:xf numFmtId="0" fontId="27" fillId="50" borderId="0" xfId="0" applyNumberFormat="1" applyFont="1" applyFill="1" applyBorder="1"/>
    <x:xf numFmtId="0" fontId="27" fillId="50" borderId="0" xfId="0" applyNumberFormat="1" applyFont="1" applyFill="1" applyBorder="1" applyAlignment="1">
      <x:alignment wrapText="1"/>
    </x:xf>
    <x:xf numFmtId="0" fontId="27" fillId="50" borderId="0" xfId="0" applyNumberFormat="1" applyFont="1" applyFill="1" applyBorder="1" applyAlignment="1">
      <x:alignment vertical="center" wrapText="1"/>
    </x:xf>
    <x:xf numFmtId="0" fontId="28" fillId="48" borderId="0" xfId="0" applyNumberFormat="1" applyFont="1" applyFill="1" applyBorder="1"/>
    <x:xf numFmtId="0" fontId="28" fillId="48" borderId="0" xfId="0" applyNumberFormat="1" applyFont="1" applyFill="1" applyBorder="1" applyAlignment="1">
      <x:alignment wrapText="1"/>
    </x:xf>
    <x:xf numFmtId="0" fontId="28" fillId="48" borderId="0" xfId="0" applyNumberFormat="1" applyFont="1" applyFill="1" applyBorder="1" applyAlignment="1">
      <x:alignment vertical="center" wrapText="1"/>
    </x:xf>
    <x:xf numFmtId="0" fontId="0" fillId="52" borderId="0" xfId="0" applyNumberFormat="1" applyFont="1" applyFill="1" applyBorder="1"/>
    <x:xf numFmtId="0" fontId="29" fillId="52" borderId="0" xfId="0" applyNumberFormat="1" applyFont="1" applyFill="1" applyBorder="1"/>
    <x:xf numFmtId="0" fontId="29" fillId="52" borderId="0" xfId="0" applyNumberFormat="1" applyFont="1" applyFill="1" applyBorder="1" applyAlignment="1">
      <x:alignment wrapText="1"/>
    </x:xf>
    <x:xf numFmtId="0" fontId="30" fillId="52" borderId="0" xfId="0" applyNumberFormat="1" applyFont="1" applyFill="1" applyBorder="1"/>
    <x:xf numFmtId="0" fontId="30" fillId="52" borderId="0" xfId="0" applyNumberFormat="1" applyFont="1" applyFill="1" applyBorder="1" applyAlignment="1">
      <x:alignment wrapText="1"/>
    </x:xf>
    <x:xf numFmtId="0" fontId="30" fillId="52" borderId="0" xfId="0" applyNumberFormat="1" applyFont="1" applyFill="1" applyBorder="1" applyAlignment="1">
      <x:alignment vertical="center" wrapText="1"/>
    </x:xf>
    <x:xf numFmtId="0" fontId="31" fillId="48" borderId="0" xfId="0" applyNumberFormat="1" applyFont="1" applyFill="1" applyBorder="1"/>
    <x:xf numFmtId="0" fontId="31" fillId="48" borderId="0" xfId="0" applyNumberFormat="1" applyFont="1" applyFill="1" applyBorder="1" applyAlignment="1">
      <x:alignment wrapText="1"/>
    </x:xf>
    <x:xf numFmtId="0" fontId="31" fillId="48" borderId="0" xfId="0" applyNumberFormat="1" applyFont="1" applyFill="1" applyBorder="1" applyAlignment="1">
      <x:alignment vertical="center" wrapText="1"/>
    </x:xf>
    <x:xf numFmtId="221" fontId="11" fillId="0" borderId="0" xfId="0" applyNumberFormat="1" applyFont="1" applyFill="1" applyBorder="1"/>
    <x:xf numFmtId="221" fontId="11" fillId="0" borderId="0" xfId="0" applyNumberFormat="1" applyFont="1" applyFill="1" applyBorder="1" applyAlignment="1">
      <x:alignment wrapText="1"/>
    </x:xf>
    <x:xf numFmtId="0" fontId="0" fillId="53" borderId="0" xfId="0" applyNumberFormat="1" applyFont="1" applyFill="1" applyBorder="1"/>
    <x:xf numFmtId="0" fontId="30" fillId="53" borderId="0" xfId="0" applyNumberFormat="1" applyFont="1" applyFill="1" applyBorder="1"/>
    <x:xf numFmtId="0" fontId="30" fillId="53" borderId="0" xfId="0" applyNumberFormat="1" applyFont="1" applyFill="1" applyBorder="1" applyAlignment="1">
      <x:alignment wrapText="1"/>
    </x:xf>
    <x:xf numFmtId="0" fontId="30" fillId="53" borderId="0" xfId="0" applyNumberFormat="1" applyFont="1" applyFill="1" applyBorder="1" applyAlignment="1">
      <x:alignment horizontal="center" wrapText="1"/>
    </x:xf>
    <x:xf numFmtId="0" fontId="30" fillId="53" borderId="0" xfId="0" applyNumberFormat="1" applyFont="1" applyFill="1" applyBorder="1" applyAlignment="1">
      <x:alignment horizontal="center" vertical="center" wrapText="1"/>
    </x:xf>
    <x:xf numFmtId="0" fontId="0" fillId="54" borderId="0" xfId="0" applyNumberFormat="1" applyFont="1" applyFill="1" applyBorder="1"/>
    <x:xf numFmtId="0" fontId="0" fillId="54" borderId="0" xfId="0" applyNumberFormat="1" applyFont="1" applyFill="1" applyBorder="1" applyAlignment="1">
      <x:alignment wrapText="1"/>
    </x:xf>
    <x:xf numFmtId="0" fontId="0" fillId="54" borderId="0" xfId="0" applyNumberFormat="1" applyFont="1" applyFill="1" applyBorder="1" applyAlignment="1">
      <x:alignment vertical="center" wrapText="1"/>
    </x:xf>
    <x:xf numFmtId="217" fontId="11" fillId="0" borderId="0" xfId="0" applyNumberFormat="1" applyFont="1" applyFill="1" applyBorder="1"/>
    <x:xf numFmtId="213" fontId="11" fillId="0" borderId="0" xfId="0" applyNumberFormat="1" applyFont="1" applyFill="1" applyBorder="1"/>
    <x:xf numFmtId="210" fontId="11" fillId="51" borderId="0" xfId="0" applyNumberFormat="1" applyFont="1" applyFill="1" applyBorder="1"/>
    <x:xf numFmtId="210" fontId="11" fillId="50" borderId="0" xfId="0" applyNumberFormat="1" applyFont="1" applyFill="1" applyBorder="1"/>
    <x:xf numFmtId="213" fontId="11" fillId="51" borderId="0" xfId="0" applyNumberFormat="1" applyFont="1" applyFill="1" applyBorder="1"/>
    <x:xf numFmtId="0" fontId="0" fillId="50" borderId="0" xfId="0" applyNumberFormat="1" applyFont="1" applyFill="1" applyBorder="1" applyAlignment="1">
      <x:alignment vertical="center" wrapText="1"/>
    </x:xf>
    <x:xf numFmtId="202" fontId="11" fillId="51" borderId="0" xfId="0" applyNumberFormat="1" applyFont="1" applyFill="1" applyBorder="1"/>
    <x:xf numFmtId="203" fontId="11" fillId="51" borderId="0" xfId="0" applyNumberFormat="1" applyFont="1" applyFill="1" applyBorder="1"/>
    <x:xf numFmtId="210" fontId="11" fillId="51" borderId="0" xfId="0" applyNumberFormat="1" applyFont="1" applyFill="1" applyBorder="1" applyAlignment="1">
      <x:alignment wrapText="1"/>
    </x:xf>
    <x:xf numFmtId="210" fontId="11" fillId="50" borderId="0" xfId="0" applyNumberFormat="1" applyFont="1" applyFill="1" applyBorder="1" applyAlignment="1">
      <x:alignment wrapText="1"/>
    </x:xf>
    <x:xf numFmtId="202" fontId="11" fillId="51" borderId="0" xfId="0" applyNumberFormat="1" applyFont="1" applyFill="1" applyBorder="1" applyAlignment="1">
      <x:alignment wrapText="1"/>
    </x:xf>
    <x:xf numFmtId="213" fontId="11" fillId="51" borderId="0" xfId="0" applyNumberFormat="1" applyFont="1" applyFill="1" applyBorder="1" applyAlignment="1">
      <x:alignment wrapText="1"/>
    </x:xf>
    <x:xf numFmtId="203" fontId="11" fillId="51" borderId="0" xfId="0" applyNumberFormat="1" applyFont="1" applyFill="1" applyBorder="1" applyAlignment="1">
      <x:alignment wrapText="1"/>
    </x:xf>
    <x:xf numFmtId="0" fontId="10" fillId="50" borderId="0" xfId="0" applyNumberFormat="1" applyFont="1" applyFill="1" applyBorder="1"/>
    <x:xf numFmtId="0" fontId="10" fillId="50" borderId="0" xfId="0" applyNumberFormat="1" applyFont="1" applyFill="1" applyBorder="1" applyAlignment="1">
      <x:alignment vertical="top" wrapText="1"/>
    </x:xf>
    <x:xf numFmtId="0" fontId="32" fillId="52" borderId="0" xfId="0" applyNumberFormat="1" applyFont="1" applyFill="1" applyBorder="1"/>
    <x:xf numFmtId="0" fontId="32" fillId="52" borderId="0" xfId="0" applyNumberFormat="1" applyFont="1" applyFill="1" applyBorder="1" applyAlignment="1">
      <x:alignment wrapText="1"/>
    </x:xf>
    <x:xf numFmtId="0" fontId="32" fillId="52" borderId="0" xfId="0" applyNumberFormat="1" applyFont="1" applyFill="1" applyBorder="1" applyAlignment="1">
      <x:alignment vertical="top" wrapText="1"/>
    </x:xf>
    <x:xf numFmtId="0" fontId="32" fillId="50" borderId="0" xfId="0" applyNumberFormat="1" applyFont="1" applyFill="1" applyBorder="1"/>
    <x:xf numFmtId="0" fontId="32" fillId="50" borderId="0" xfId="0" applyNumberFormat="1" applyFont="1" applyFill="1" applyBorder="1" applyAlignment="1">
      <x:alignment wrapText="1"/>
    </x:xf>
    <x:xf numFmtId="0" fontId="32" fillId="50" borderId="0" xfId="0" applyNumberFormat="1" applyFont="1" applyFill="1" applyBorder="1" applyAlignment="1">
      <x:alignment vertical="top" wrapText="1"/>
    </x:xf>
    <x:xf numFmtId="217" fontId="11" fillId="0" borderId="0" xfId="0" applyNumberFormat="1" applyFont="1" applyFill="1" applyBorder="1" applyAlignment="1">
      <x:alignment wrapText="1"/>
    </x:xf>
    <x:xf numFmtId="0" fontId="33" fillId="52" borderId="0" xfId="0" applyNumberFormat="1" applyFont="1" applyFill="1" applyBorder="1" applyAlignment="1">
      <x:alignment wrapText="1"/>
    </x:xf>
    <x:xf numFmtId="0" fontId="34" fillId="52" borderId="0" xfId="0" applyNumberFormat="1" applyFont="1" applyFill="1" applyBorder="1" applyAlignment="1">
      <x:alignment vertical="center" wrapText="1"/>
    </x:xf>
    <x:xf numFmtId="0" fontId="35" fillId="0" borderId="0" xfId="0" applyNumberFormat="1" applyFont="1" applyFill="1" applyBorder="1" applyAlignment="1">
      <x:alignment wrapText="1"/>
    </x:xf>
    <x:xf numFmtId="0" fontId="22" fillId="48" borderId="0" xfId="0" applyNumberFormat="1" applyFont="1" applyFill="1" applyBorder="1" applyAlignment="1">
      <x:alignment vertical="center" wrapText="1"/>
    </x:xf>
    <x:xf numFmtId="0" fontId="22" fillId="49" borderId="0" xfId="0" applyNumberFormat="1" applyFont="1" applyFill="1" applyBorder="1" applyAlignment="1">
      <x:alignment horizontal="center" vertical="center" wrapText="1"/>
    </x:xf>
    <x:xf numFmtId="221" fontId="36" fillId="0" borderId="0" xfId="0" applyNumberFormat="1" applyFont="1" applyFill="1" applyBorder="1" applyAlignment="1">
      <x:alignment wrapText="1"/>
    </x:xf>
    <x:xf numFmtId="0" fontId="35" fillId="52" borderId="0" xfId="0" applyNumberFormat="1" applyFont="1" applyFill="1" applyBorder="1" applyAlignment="1">
      <x:alignment wrapText="1"/>
    </x:xf>
    <x:xf numFmtId="0" fontId="35" fillId="50" borderId="0" xfId="0" applyNumberFormat="1" applyFont="1" applyFill="1" applyBorder="1" applyAlignment="1">
      <x:alignment wrapText="1"/>
    </x:xf>
    <x:xf numFmtId="0" fontId="34" fillId="53" borderId="0" xfId="0" applyNumberFormat="1" applyFont="1" applyFill="1" applyBorder="1" applyAlignment="1">
      <x:alignment horizontal="center" vertical="center" wrapText="1"/>
    </x:xf>
    <x:xf numFmtId="0" fontId="35" fillId="54" borderId="0" xfId="0" applyNumberFormat="1" applyFont="1" applyFill="1" applyBorder="1" applyAlignment="1">
      <x:alignment vertical="center" wrapText="1"/>
    </x:xf>
    <x:xf numFmtId="217" fontId="36" fillId="0" borderId="0" xfId="0" applyNumberFormat="1" applyFont="1" applyFill="1" applyBorder="1" applyAlignment="1">
      <x:alignment wrapText="1"/>
    </x:xf>
    <x:xf numFmtId="214" fontId="36" fillId="0" borderId="0" xfId="0" applyNumberFormat="1" applyFont="1" applyFill="1" applyBorder="1" applyAlignment="1">
      <x:alignment wrapText="1"/>
    </x:xf>
    <x:xf numFmtId="210" fontId="36" fillId="51" borderId="0" xfId="0" applyNumberFormat="1" applyFont="1" applyFill="1" applyBorder="1" applyAlignment="1">
      <x:alignment wrapText="1"/>
    </x:xf>
    <x:xf numFmtId="210" fontId="36" fillId="50" borderId="0" xfId="0" applyNumberFormat="1" applyFont="1" applyFill="1" applyBorder="1" applyAlignment="1">
      <x:alignment wrapText="1"/>
    </x:xf>
    <x:xf numFmtId="213" fontId="36" fillId="51" borderId="0" xfId="0" applyNumberFormat="1" applyFont="1" applyFill="1" applyBorder="1" applyAlignment="1">
      <x:alignment wrapText="1"/>
    </x:xf>
    <x:xf numFmtId="0" fontId="35" fillId="50" borderId="0" xfId="0" applyNumberFormat="1" applyFont="1" applyFill="1" applyBorder="1" applyAlignment="1">
      <x:alignment vertical="center" wrapText="1"/>
    </x:xf>
    <x:xf numFmtId="0" fontId="35" fillId="51" borderId="0" xfId="0" applyNumberFormat="1" applyFont="1" applyFill="1" applyBorder="1" applyAlignment="1">
      <x:alignment wrapText="1"/>
    </x:xf>
    <x:xf numFmtId="202" fontId="36" fillId="51" borderId="0" xfId="0" applyNumberFormat="1" applyFont="1" applyFill="1" applyBorder="1" applyAlignment="1">
      <x:alignment wrapText="1"/>
    </x:xf>
    <x:xf numFmtId="203" fontId="36" fillId="51" borderId="0" xfId="0" applyNumberFormat="1" applyFont="1" applyFill="1" applyBorder="1" applyAlignment="1">
      <x:alignment wrapText="1"/>
    </x:xf>
    <x:xf numFmtId="0" fontId="37" fillId="50" borderId="0" xfId="0" applyNumberFormat="1" applyFont="1" applyFill="1" applyBorder="1" applyAlignment="1">
      <x:alignment vertical="top" wrapText="1"/>
    </x:xf>
    <x:xf numFmtId="0" fontId="38" fillId="52" borderId="0" xfId="0" applyNumberFormat="1" applyFont="1" applyFill="1" applyBorder="1" applyAlignment="1">
      <x:alignment vertical="top" wrapText="1"/>
    </x:xf>
    <x:xf numFmtId="0" fontId="38" fillId="50" borderId="0" xfId="0" applyNumberFormat="1" applyFont="1" applyFill="1" applyBorder="1" applyAlignment="1">
      <x:alignment vertical="top" wrapText="1"/>
    </x:xf>
    <x:xf numFmtId="0" fontId="39" fillId="50" borderId="0" xfId="0" applyNumberFormat="1" applyFont="1" applyFill="1" applyBorder="1" applyAlignment="1">
      <x:alignment vertical="center" wrapText="1"/>
    </x:xf>
    <x:xf numFmtId="0" fontId="40" fillId="48" borderId="0" xfId="0" applyNumberFormat="1" applyFont="1" applyFill="1" applyBorder="1"/>
    <x:xf numFmtId="0" fontId="40" fillId="48" borderId="0" xfId="0" applyNumberFormat="1" applyFont="1" applyFill="1" applyBorder="1" applyAlignment="1">
      <x:alignment wrapText="1"/>
    </x:xf>
    <x:xf numFmtId="0" fontId="40" fillId="48" borderId="0" xfId="0" applyNumberFormat="1" applyFont="1" applyFill="1" applyBorder="1" applyAlignment="1">
      <x:alignment vertical="center" wrapText="1"/>
    </x:xf>
    <x:xf numFmtId="222" fontId="0" fillId="0" borderId="0" xfId="0" applyNumberFormat="1" applyFont="1" applyFill="1" applyBorder="1"/>
    <x:xf numFmtId="222" fontId="0" fillId="0" borderId="0" xfId="0" applyNumberFormat="1" applyFont="1" applyFill="1" applyBorder="1" applyAlignment="1">
      <x:alignment wrapText="1"/>
    </x:xf>
    <x:xf numFmtId="223" fontId="11" fillId="0" borderId="0" xfId="0" applyNumberFormat="1" applyFont="1" applyFill="1" applyBorder="1" applyAlignment="1">
      <x:alignment wrapText="1"/>
    </x:xf>
    <x:xf numFmtId="0" fontId="23" fillId="39" borderId="0" xfId="0" applyNumberFormat="1" applyFont="1" applyFill="1" applyBorder="1" applyAlignment="1">
      <x:alignment vertical="center" wrapText="1"/>
    </x:xf>
    <x:xf numFmtId="0" fontId="7" fillId="38" borderId="0" xfId="0" applyNumberFormat="1" applyFont="1" applyFill="1" applyBorder="1" applyAlignment="1">
      <x:alignment horizontal="center" wrapText="1"/>
    </x:xf>
    <x:xf numFmtId="0" fontId="7" fillId="38" borderId="0" xfId="0" applyNumberFormat="1" applyFont="1" applyFill="1" applyBorder="1" applyAlignment="1">
      <x:alignment horizontal="center" vertical="center" wrapText="1"/>
    </x:xf>
    <x:xf numFmtId="0" fontId="11" fillId="4" borderId="0" xfId="0" applyNumberFormat="1" applyFont="1" applyFill="1" applyBorder="1" applyAlignment="1">
      <x:alignment wrapText="1"/>
    </x:xf>
    <x:xf numFmtId="0" fontId="0" fillId="40" borderId="0" xfId="0" applyNumberFormat="1" applyFont="1" applyFill="1" applyBorder="1" applyAlignment="1">
      <x:alignment wrapText="1"/>
    </x:xf>
    <x:xf numFmtId="0" fontId="10" fillId="41" borderId="0" xfId="0" applyNumberFormat="1" applyFont="1" applyFill="1" applyBorder="1" applyAlignment="1">
      <x:alignment wrapText="1"/>
    </x:xf>
    <x:xf numFmtId="0" fontId="14" fillId="41" borderId="0" xfId="0" applyNumberFormat="1" applyFont="1" applyFill="1" applyBorder="1" applyAlignment="1">
      <x:alignment wrapText="1"/>
    </x:xf>
    <x:xf numFmtId="214" fontId="14" fillId="41" borderId="0" xfId="0" applyNumberFormat="1" applyFont="1" applyFill="1" applyBorder="1" applyAlignment="1">
      <x:alignment wrapText="1"/>
    </x:xf>
    <x:xf numFmtId="0" fontId="10" fillId="4" borderId="0" xfId="0" applyNumberFormat="1" applyFont="1" applyFill="1" applyBorder="1" applyAlignment="1">
      <x:alignment wrapText="1"/>
    </x:xf>
    <x:xf numFmtId="0" fontId="27" fillId="4" borderId="0" xfId="0" applyNumberFormat="1" applyFont="1" applyFill="1" applyBorder="1"/>
    <x:xf numFmtId="0" fontId="27" fillId="4" borderId="0" xfId="0" applyNumberFormat="1" applyFont="1" applyFill="1" applyBorder="1" applyAlignment="1">
      <x:alignment wrapText="1"/>
    </x:xf>
    <x:xf numFmtId="0" fontId="27" fillId="4" borderId="0" xfId="0" applyNumberFormat="1" applyFont="1" applyFill="1" applyBorder="1" applyAlignment="1">
      <x:alignment vertical="center" wrapText="1"/>
    </x:xf>
    <x:xf numFmtId="0" fontId="28" fillId="39" borderId="0" xfId="0" applyNumberFormat="1" applyFont="1" applyFill="1" applyBorder="1"/>
    <x:xf numFmtId="0" fontId="28" fillId="39" borderId="0" xfId="0" applyNumberFormat="1" applyFont="1" applyFill="1" applyBorder="1" applyAlignment="1">
      <x:alignment wrapText="1"/>
    </x:xf>
    <x:xf numFmtId="0" fontId="28" fillId="39" borderId="0" xfId="0" applyNumberFormat="1" applyFont="1" applyFill="1" applyBorder="1" applyAlignment="1">
      <x:alignment vertical="center" wrapText="1"/>
    </x:xf>
    <x:xf numFmtId="0" fontId="29" fillId="41" borderId="0" xfId="0" applyNumberFormat="1" applyFont="1" applyFill="1" applyBorder="1"/>
    <x:xf numFmtId="0" fontId="29" fillId="41" borderId="0" xfId="0" applyNumberFormat="1" applyFont="1" applyFill="1" applyBorder="1" applyAlignment="1">
      <x:alignment wrapText="1"/>
    </x:xf>
    <x:xf numFmtId="0" fontId="30" fillId="41" borderId="0" xfId="0" applyNumberFormat="1" applyFont="1" applyFill="1" applyBorder="1"/>
    <x:xf numFmtId="0" fontId="30" fillId="41" borderId="0" xfId="0" applyNumberFormat="1" applyFont="1" applyFill="1" applyBorder="1" applyAlignment="1">
      <x:alignment wrapText="1"/>
    </x:xf>
    <x:xf numFmtId="0" fontId="30" fillId="41" borderId="0" xfId="0" applyNumberFormat="1" applyFont="1" applyFill="1" applyBorder="1" applyAlignment="1">
      <x:alignment vertical="center" wrapText="1"/>
    </x:xf>
    <x:xf numFmtId="0" fontId="31" fillId="39" borderId="0" xfId="0" applyNumberFormat="1" applyFont="1" applyFill="1" applyBorder="1"/>
    <x:xf numFmtId="0" fontId="31" fillId="39" borderId="0" xfId="0" applyNumberFormat="1" applyFont="1" applyFill="1" applyBorder="1" applyAlignment="1">
      <x:alignment wrapText="1"/>
    </x:xf>
    <x:xf numFmtId="0" fontId="31" fillId="39" borderId="0" xfId="0" applyNumberFormat="1" applyFont="1" applyFill="1" applyBorder="1" applyAlignment="1">
      <x:alignment vertical="center" wrapText="1"/>
    </x:xf>
    <x:xf numFmtId="0" fontId="30" fillId="47" borderId="0" xfId="0" applyNumberFormat="1" applyFont="1" applyFill="1" applyBorder="1"/>
    <x:xf numFmtId="0" fontId="30" fillId="47" borderId="0" xfId="0" applyNumberFormat="1" applyFont="1" applyFill="1" applyBorder="1" applyAlignment="1">
      <x:alignment wrapText="1"/>
    </x:xf>
    <x:xf numFmtId="0" fontId="30" fillId="47" borderId="0" xfId="0" applyNumberFormat="1" applyFont="1" applyFill="1" applyBorder="1" applyAlignment="1">
      <x:alignment horizontal="center" wrapText="1"/>
    </x:xf>
    <x:xf numFmtId="0" fontId="30" fillId="47" borderId="0" xfId="0" applyNumberFormat="1" applyFont="1" applyFill="1" applyBorder="1" applyAlignment="1">
      <x:alignment horizontal="center" vertical="center" wrapText="1"/>
    </x:xf>
    <x:xf numFmtId="0" fontId="0" fillId="42" borderId="0" xfId="0" applyNumberFormat="1" applyFont="1" applyFill="1" applyBorder="1"/>
    <x:xf numFmtId="0" fontId="0" fillId="42" borderId="0" xfId="0" applyNumberFormat="1" applyFont="1" applyFill="1" applyBorder="1" applyAlignment="1">
      <x:alignment vertical="center" wrapText="1"/>
    </x:xf>
    <x:xf numFmtId="210" fontId="11" fillId="40" borderId="0" xfId="0" applyNumberFormat="1" applyFont="1" applyFill="1" applyBorder="1"/>
    <x:xf numFmtId="210" fontId="11" fillId="4" borderId="0" xfId="0" applyNumberFormat="1" applyFont="1" applyFill="1" applyBorder="1"/>
    <x:xf numFmtId="213" fontId="11" fillId="40" borderId="0" xfId="0" applyNumberFormat="1" applyFont="1" applyFill="1" applyBorder="1"/>
    <x:xf numFmtId="0" fontId="0" fillId="4" borderId="0" xfId="0" applyNumberFormat="1" applyFont="1" applyFill="1" applyBorder="1" applyAlignment="1">
      <x:alignment vertical="center" wrapText="1"/>
    </x:xf>
    <x:xf numFmtId="202" fontId="11" fillId="40" borderId="0" xfId="0" applyNumberFormat="1" applyFont="1" applyFill="1" applyBorder="1"/>
    <x:xf numFmtId="203" fontId="11" fillId="40" borderId="0" xfId="0" applyNumberFormat="1" applyFont="1" applyFill="1" applyBorder="1"/>
    <x:xf numFmtId="210" fontId="11" fillId="40" borderId="0" xfId="0" applyNumberFormat="1" applyFont="1" applyFill="1" applyBorder="1" applyAlignment="1">
      <x:alignment wrapText="1"/>
    </x:xf>
    <x:xf numFmtId="210" fontId="11" fillId="4" borderId="0" xfId="0" applyNumberFormat="1" applyFont="1" applyFill="1" applyBorder="1" applyAlignment="1">
      <x:alignment wrapText="1"/>
    </x:xf>
    <x:xf numFmtId="202" fontId="11" fillId="40" borderId="0" xfId="0" applyNumberFormat="1" applyFont="1" applyFill="1" applyBorder="1" applyAlignment="1">
      <x:alignment wrapText="1"/>
    </x:xf>
    <x:xf numFmtId="213" fontId="11" fillId="40" borderId="0" xfId="0" applyNumberFormat="1" applyFont="1" applyFill="1" applyBorder="1" applyAlignment="1">
      <x:alignment wrapText="1"/>
    </x:xf>
    <x:xf numFmtId="203" fontId="11" fillId="40" borderId="0" xfId="0" applyNumberFormat="1" applyFont="1" applyFill="1" applyBorder="1" applyAlignment="1">
      <x:alignment wrapText="1"/>
    </x:xf>
    <x:xf numFmtId="0" fontId="10" fillId="4" borderId="0" xfId="0" applyNumberFormat="1" applyFont="1" applyFill="1" applyBorder="1"/>
    <x:xf numFmtId="0" fontId="10" fillId="4" borderId="0" xfId="0" applyNumberFormat="1" applyFont="1" applyFill="1" applyBorder="1" applyAlignment="1">
      <x:alignment vertical="top" wrapText="1"/>
    </x:xf>
    <x:xf numFmtId="0" fontId="0" fillId="41" borderId="0" xfId="0" applyNumberFormat="1" applyFont="1" applyFill="1" applyBorder="1" applyAlignment="1">
      <x:alignment vertical="top" wrapText="1"/>
    </x:xf>
    <x:xf numFmtId="0" fontId="33" fillId="41" borderId="0" xfId="0" applyNumberFormat="1" applyFont="1" applyFill="1" applyBorder="1" applyAlignment="1">
      <x:alignment wrapText="1"/>
    </x:xf>
    <x:xf numFmtId="0" fontId="34" fillId="41" borderId="0" xfId="0" applyNumberFormat="1" applyFont="1" applyFill="1" applyBorder="1" applyAlignment="1">
      <x:alignment vertical="center" wrapText="1"/>
    </x:xf>
    <x:xf numFmtId="0" fontId="33" fillId="0" borderId="0" xfId="0" applyNumberFormat="1" applyFont="1" applyFill="1" applyBorder="1" applyAlignment="1">
      <x:alignment wrapText="1"/>
    </x:xf>
    <x:xf numFmtId="0" fontId="22" fillId="39" borderId="0" xfId="0" applyNumberFormat="1" applyFont="1" applyFill="1" applyBorder="1" applyAlignment="1">
      <x:alignment vertical="center" wrapText="1"/>
    </x:xf>
    <x:xf numFmtId="0" fontId="22" fillId="38" borderId="0" xfId="0" applyNumberFormat="1" applyFont="1" applyFill="1" applyBorder="1" applyAlignment="1">
      <x:alignment horizontal="center" vertical="center" wrapText="1"/>
    </x:xf>
    <x:xf numFmtId="0" fontId="33" fillId="4" borderId="0" xfId="0" applyNumberFormat="1" applyFont="1" applyFill="1" applyBorder="1" applyAlignment="1">
      <x:alignment wrapText="1"/>
    </x:xf>
    <x:xf numFmtId="0" fontId="34" fillId="47" borderId="0" xfId="0" applyNumberFormat="1" applyFont="1" applyFill="1" applyBorder="1" applyAlignment="1">
      <x:alignment horizontal="center" vertical="center" wrapText="1"/>
    </x:xf>
    <x:xf numFmtId="0" fontId="33" fillId="42" borderId="0" xfId="0" applyNumberFormat="1" applyFont="1" applyFill="1" applyBorder="1" applyAlignment="1">
      <x:alignment vertical="center" wrapText="1"/>
    </x:xf>
    <x:xf numFmtId="210" fontId="36" fillId="40" borderId="0" xfId="0" applyNumberFormat="1" applyFont="1" applyFill="1" applyBorder="1" applyAlignment="1">
      <x:alignment wrapText="1"/>
    </x:xf>
    <x:xf numFmtId="210" fontId="36" fillId="4" borderId="0" xfId="0" applyNumberFormat="1" applyFont="1" applyFill="1" applyBorder="1" applyAlignment="1">
      <x:alignment wrapText="1"/>
    </x:xf>
    <x:xf numFmtId="213" fontId="36" fillId="40" borderId="0" xfId="0" applyNumberFormat="1" applyFont="1" applyFill="1" applyBorder="1" applyAlignment="1">
      <x:alignment wrapText="1"/>
    </x:xf>
    <x:xf numFmtId="0" fontId="33" fillId="4" borderId="0" xfId="0" applyNumberFormat="1" applyFont="1" applyFill="1" applyBorder="1" applyAlignment="1">
      <x:alignment vertical="center" wrapText="1"/>
    </x:xf>
    <x:xf numFmtId="0" fontId="33" fillId="40" borderId="0" xfId="0" applyNumberFormat="1" applyFont="1" applyFill="1" applyBorder="1" applyAlignment="1">
      <x:alignment wrapText="1"/>
    </x:xf>
    <x:xf numFmtId="202" fontId="36" fillId="40" borderId="0" xfId="0" applyNumberFormat="1" applyFont="1" applyFill="1" applyBorder="1" applyAlignment="1">
      <x:alignment wrapText="1"/>
    </x:xf>
    <x:xf numFmtId="203" fontId="36" fillId="40" borderId="0" xfId="0" applyNumberFormat="1" applyFont="1" applyFill="1" applyBorder="1" applyAlignment="1">
      <x:alignment wrapText="1"/>
    </x:xf>
    <x:xf numFmtId="0" fontId="37" fillId="4" borderId="0" xfId="0" applyNumberFormat="1" applyFont="1" applyFill="1" applyBorder="1" applyAlignment="1">
      <x:alignment vertical="top" wrapText="1"/>
    </x:xf>
    <x:xf numFmtId="0" fontId="33" fillId="41" borderId="0" xfId="0" applyNumberFormat="1" applyFont="1" applyFill="1" applyBorder="1" applyAlignment="1">
      <x:alignment vertical="top" wrapText="1"/>
    </x:xf>
    <x:xf numFmtId="0" fontId="33" fillId="4" borderId="0" xfId="0" applyNumberFormat="1" applyFont="1" applyFill="1" applyBorder="1" applyAlignment="1">
      <x:alignment vertical="top" wrapText="1"/>
    </x:xf>
    <x:xf numFmtId="0" fontId="39" fillId="4" borderId="0" xfId="0" applyNumberFormat="1" applyFont="1" applyFill="1" applyBorder="1" applyAlignment="1">
      <x:alignment vertical="center" wrapText="1"/>
    </x:xf>
    <x:xf numFmtId="0" fontId="40" fillId="39" borderId="0" xfId="0" applyNumberFormat="1" applyFont="1" applyFill="1" applyBorder="1"/>
    <x:xf numFmtId="0" fontId="40" fillId="39" borderId="0" xfId="0" applyNumberFormat="1" applyFont="1" applyFill="1" applyBorder="1" applyAlignment="1">
      <x:alignment wrapText="1"/>
    </x:xf>
    <x:xf numFmtId="0" fontId="40" fillId="39" borderId="0" xfId="0" applyNumberFormat="1" applyFont="1" applyFill="1" applyBorder="1" applyAlignment="1">
      <x:alignment vertical="center" wrapText="1"/>
    </x:xf>
    <x:xf numFmtId="0" fontId="0" fillId="55" borderId="0" xfId="0" applyNumberFormat="1" applyFont="1" applyFill="1" applyBorder="1" applyAlignment="1">
      <x:alignment vertical="top"/>
    </x:xf>
    <x:xf numFmtId="0" fontId="27" fillId="55" borderId="0" xfId="0" applyNumberFormat="1" applyFont="1" applyFill="1" applyBorder="1" applyAlignment="1">
      <x:alignment vertical="top"/>
    </x:xf>
    <x:xf numFmtId="0" fontId="27" fillId="55" borderId="0" xfId="0" applyNumberFormat="1" applyFont="1" applyFill="1" applyBorder="1" applyAlignment="1">
      <x:alignment vertical="top" wrapText="1"/>
    </x:xf>
    <x:xf numFmtId="0" fontId="27" fillId="55" borderId="0" xfId="0" applyNumberFormat="1" applyFont="1" applyFill="1" applyBorder="1" applyAlignment="1">
      <x:alignment vertical="center" wrapText="1"/>
    </x:xf>
    <x:xf numFmtId="0" fontId="0" fillId="55" borderId="0" xfId="0" applyNumberFormat="1" applyFont="1" applyFill="1" applyBorder="1" applyAlignment="1">
      <x:alignment wrapText="1"/>
    </x:xf>
    <x:xf numFmtId="0" fontId="27" fillId="55" borderId="0" xfId="0" applyNumberFormat="1" applyFont="1" applyFill="1" applyBorder="1" applyAlignment="1">
      <x:alignment wrapText="1"/>
    </x:xf>
    <x:xf numFmtId="0" fontId="11" fillId="0" borderId="0" xfId="0" applyNumberFormat="1" applyFont="1" applyFill="1" applyBorder="1" applyAlignment="1">
      <x:alignment vertical="top"/>
    </x:xf>
    <x:xf numFmtId="203" fontId="14" fillId="11" borderId="0" xfId="0" applyNumberFormat="1" applyFont="1" applyFill="1" applyBorder="1" applyAlignment="1">
      <x:alignment vertical="top" wrapText="1"/>
    </x:xf>
    <x:xf numFmtId="214" fontId="11" fillId="0" borderId="0" xfId="0" applyNumberFormat="1" applyFont="1" applyFill="1" applyBorder="1" applyAlignment="1">
      <x:alignment vertical="top"/>
    </x:xf>
    <x:xf numFmtId="221" fontId="41" fillId="0" borderId="0" xfId="0" applyNumberFormat="1" applyFont="1" applyFill="1" applyBorder="1" applyAlignment="1">
      <x:alignment wrapText="1"/>
    </x:xf>
    <x:xf numFmtId="217" fontId="41" fillId="0" borderId="0" xfId="0" applyNumberFormat="1" applyFont="1" applyFill="1" applyBorder="1" applyAlignment="1">
      <x:alignment wrapText="1"/>
    </x:xf>
    <x:xf numFmtId="214" fontId="41" fillId="0" borderId="0" xfId="0" applyNumberFormat="1" applyFont="1" applyFill="1" applyBorder="1" applyAlignment="1">
      <x:alignment wrapText="1"/>
    </x:xf>
    <x:xf numFmtId="210" fontId="41" fillId="40" borderId="0" xfId="0" applyNumberFormat="1" applyFont="1" applyFill="1" applyBorder="1" applyAlignment="1">
      <x:alignment wrapText="1"/>
    </x:xf>
    <x:xf numFmtId="213" fontId="41" fillId="40" borderId="0" xfId="0" applyNumberFormat="1" applyFont="1" applyFill="1" applyBorder="1" applyAlignment="1">
      <x:alignment wrapText="1"/>
    </x:xf>
    <x:xf numFmtId="202" fontId="41" fillId="40" borderId="0" xfId="0" applyNumberFormat="1" applyFont="1" applyFill="1" applyBorder="1" applyAlignment="1">
      <x:alignment wrapText="1"/>
    </x:xf>
    <x:xf numFmtId="0" fontId="41" fillId="0" borderId="0" xfId="0" applyNumberFormat="1" applyFont="1" applyFill="1" applyBorder="1" applyAlignment="1">
      <x:alignment wrapText="1"/>
    </x:xf>
    <x:xf numFmtId="210" fontId="41" fillId="4" borderId="0" xfId="0" applyNumberFormat="1" applyFont="1" applyFill="1" applyBorder="1" applyAlignment="1">
      <x:alignment wrapText="1"/>
    </x:xf>
    <x:xf numFmtId="203" fontId="41" fillId="40" borderId="0" xfId="0" applyNumberFormat="1" applyFont="1" applyFill="1" applyBorder="1" applyAlignment="1">
      <x:alignment wrapText="1"/>
    </x:xf>
    <x:xf numFmtId="213" fontId="41" fillId="4" borderId="0" xfId="0" applyNumberFormat="1" applyFont="1" applyFill="1" applyBorder="1" applyAlignment="1">
      <x:alignment wrapText="1"/>
    </x:xf>
    <x:xf numFmtId="218" fontId="41" fillId="40" borderId="0" xfId="0" applyNumberFormat="1" applyFont="1" applyFill="1" applyBorder="1" applyAlignment="1">
      <x:alignment wrapText="1"/>
    </x:xf>
    <x:xf numFmtId="203" fontId="41" fillId="0" borderId="0" xfId="0" applyNumberFormat="1" applyFont="1" applyFill="1" applyBorder="1" applyAlignment="1">
      <x:alignment wrapText="1"/>
    </x:xf>
    <x:xf numFmtId="210" fontId="41" fillId="56" borderId="0" xfId="0" applyNumberFormat="1" applyFont="1" applyFill="1" applyBorder="1" applyAlignment="1">
      <x:alignment wrapText="1"/>
    </x:xf>
    <x:xf numFmtId="210" fontId="41" fillId="55" borderId="0" xfId="0" applyNumberFormat="1" applyFont="1" applyFill="1" applyBorder="1" applyAlignment="1">
      <x:alignment wrapText="1"/>
    </x:xf>
    <x:xf numFmtId="213" fontId="41" fillId="56" borderId="0" xfId="0" applyNumberFormat="1" applyFont="1" applyFill="1" applyBorder="1" applyAlignment="1">
      <x:alignment wrapText="1"/>
    </x:xf>
    <x:xf numFmtId="0" fontId="33" fillId="56" borderId="0" xfId="0" applyNumberFormat="1" applyFont="1" applyFill="1" applyBorder="1" applyAlignment="1">
      <x:alignment wrapText="1"/>
    </x:xf>
    <x:xf numFmtId="202" fontId="41" fillId="56" borderId="0" xfId="0" applyNumberFormat="1" applyFont="1" applyFill="1" applyBorder="1" applyAlignment="1">
      <x:alignment wrapText="1"/>
    </x:xf>
    <x:xf numFmtId="218" fontId="41" fillId="55" borderId="0" xfId="0" applyNumberFormat="1" applyFont="1" applyFill="1" applyBorder="1" applyAlignment="1">
      <x:alignment wrapText="1"/>
    </x:xf>
    <x:xf numFmtId="0" fontId="33" fillId="55" borderId="0" xfId="0" applyNumberFormat="1" applyFont="1" applyFill="1" applyBorder="1" applyAlignment="1">
      <x:alignment wrapText="1"/>
    </x:xf>
    <x:xf numFmtId="203" fontId="41" fillId="56" borderId="0" xfId="0" applyNumberFormat="1" applyFont="1" applyFill="1" applyBorder="1" applyAlignment="1">
      <x:alignment wrapText="1"/>
    </x:xf>
    <x:xf numFmtId="203" fontId="42" fillId="0" borderId="0" xfId="0" applyNumberFormat="1" applyFont="1" applyFill="1" applyBorder="1" applyAlignment="1">
      <x:alignment wrapText="1"/>
    </x:xf>
    <x:xf numFmtId="0" fontId="42" fillId="0" borderId="0" xfId="0" applyNumberFormat="1" applyFont="1" applyFill="1" applyBorder="1" applyAlignment="1">
      <x:alignment wrapText="1"/>
    </x:xf>
    <x:xf numFmtId="217" fontId="42" fillId="0" borderId="0" xfId="0" applyNumberFormat="1" applyFont="1" applyFill="1" applyBorder="1" applyAlignment="1">
      <x:alignment wrapText="1"/>
    </x:xf>
    <x:xf numFmtId="223" fontId="42" fillId="0" borderId="0" xfId="0" applyNumberFormat="1" applyFont="1" applyFill="1" applyBorder="1" applyAlignment="1">
      <x:alignment wrapText="1"/>
    </x:xf>
    <x:xf numFmtId="210" fontId="42" fillId="0" borderId="0" xfId="0" applyNumberFormat="1" applyFont="1" applyFill="1" applyBorder="1" applyAlignment="1">
      <x:alignment wrapText="1"/>
    </x:xf>
    <x:xf numFmtId="0" fontId="42" fillId="0" borderId="0" xfId="0" applyNumberFormat="1" applyFont="1" applyFill="1" applyBorder="1"/>
    <x:xf numFmtId="0" fontId="7" fillId="57" borderId="0" xfId="0" applyNumberFormat="1" applyFont="1" applyFill="1" applyBorder="1" applyAlignment="1">
      <x:alignment horizontal="center" vertical="center" wrapText="1"/>
    </x:xf>
    <x:xf numFmtId="0" fontId="0" fillId="58" borderId="0" xfId="0" applyNumberFormat="1" applyFont="1" applyFill="1" applyBorder="1" applyAlignment="1">
      <x:alignment wrapText="1"/>
    </x:xf>
    <x:xf numFmtId="203" fontId="42" fillId="58" borderId="0" xfId="0" applyNumberFormat="1" applyFont="1" applyFill="1" applyBorder="1" applyAlignment="1">
      <x:alignment wrapText="1"/>
    </x:xf>
    <x:xf numFmtId="0" fontId="42" fillId="58" borderId="0" xfId="0" applyNumberFormat="1" applyFont="1" applyFill="1" applyBorder="1" applyAlignment="1">
      <x:alignment wrapText="1"/>
    </x:xf>
    <x:xf numFmtId="217" fontId="42" fillId="58" borderId="0" xfId="0" applyNumberFormat="1" applyFont="1" applyFill="1" applyBorder="1" applyAlignment="1">
      <x:alignment wrapText="1"/>
    </x:xf>
    <x:xf numFmtId="223" fontId="42" fillId="58" borderId="0" xfId="0" applyNumberFormat="1" applyFont="1" applyFill="1" applyBorder="1" applyAlignment="1">
      <x:alignment wrapText="1"/>
    </x:xf>
    <x:xf numFmtId="0" fontId="0" fillId="56" borderId="0" xfId="0" applyNumberFormat="1" applyFont="1" applyFill="1" applyBorder="1" applyAlignment="1">
      <x:alignment wrapText="1"/>
    </x:xf>
    <x:xf numFmtId="210" fontId="42" fillId="56" borderId="0" xfId="0" applyNumberFormat="1" applyFont="1" applyFill="1" applyBorder="1" applyAlignment="1">
      <x:alignment wrapText="1"/>
    </x:xf>
    <x:xf numFmtId="0" fontId="42" fillId="56" borderId="0" xfId="0" applyNumberFormat="1" applyFont="1" applyFill="1" applyBorder="1" applyAlignment="1">
      <x:alignment wrapText="1"/>
    </x:xf>
    <x:xf numFmtId="210" fontId="42" fillId="55" borderId="0" xfId="0" applyNumberFormat="1" applyFont="1" applyFill="1" applyBorder="1" applyAlignment="1">
      <x:alignment wrapText="1"/>
    </x:xf>
    <x:xf numFmtId="0" fontId="42" fillId="55" borderId="0" xfId="0" applyNumberFormat="1" applyFont="1" applyFill="1" applyBorder="1" applyAlignment="1">
      <x:alignment wrapText="1"/>
    </x:xf>
    <x:xf numFmtId="223" fontId="42" fillId="56" borderId="0" xfId="0" applyNumberFormat="1" applyFont="1" applyFill="1" applyBorder="1" applyAlignment="1">
      <x:alignment wrapText="1"/>
    </x:xf>
    <x:xf numFmtId="203" fontId="42" fillId="56" borderId="0" xfId="0" applyNumberFormat="1" applyFont="1" applyFill="1" applyBorder="1" applyAlignment="1">
      <x:alignment wrapText="1"/>
    </x:xf>
    <x:xf numFmtId="223" fontId="42" fillId="55" borderId="0" xfId="0" applyNumberFormat="1" applyFont="1" applyFill="1" applyBorder="1" applyAlignment="1">
      <x:alignment wrapText="1"/>
    </x:xf>
    <x:xf numFmtId="203" fontId="42" fillId="0" borderId="0" xfId="0" applyNumberFormat="1" applyFont="1" applyFill="1" applyBorder="1"/>
    <x:xf numFmtId="0" fontId="0" fillId="58" borderId="0" xfId="0" applyNumberFormat="1" applyFont="1" applyFill="1" applyBorder="1"/>
    <x:xf numFmtId="0" fontId="0" fillId="55" borderId="0" xfId="0" applyNumberFormat="1" applyFont="1" applyFill="1" applyBorder="1"/>
    <x:xf numFmtId="203" fontId="42" fillId="58" borderId="0" xfId="0" applyNumberFormat="1" applyFont="1" applyFill="1" applyBorder="1"/>
    <x:xf numFmtId="0" fontId="42" fillId="58" borderId="0" xfId="0" applyNumberFormat="1" applyFont="1" applyFill="1" applyBorder="1"/>
    <x:xf numFmtId="223" fontId="42" fillId="0" borderId="0" xfId="0" applyNumberFormat="1" applyFont="1" applyFill="1" applyBorder="1"/>
    <x:xf numFmtId="223" fontId="42" fillId="58" borderId="0" xfId="0" applyNumberFormat="1" applyFont="1" applyFill="1" applyBorder="1"/>
    <x:xf numFmtId="210" fontId="42" fillId="0" borderId="0" xfId="0" applyNumberFormat="1" applyFont="1" applyFill="1" applyBorder="1"/>
    <x:xf numFmtId="210" fontId="42" fillId="58" borderId="0" xfId="0" applyNumberFormat="1" applyFont="1" applyFill="1" applyBorder="1"/>
    <x:xf numFmtId="210" fontId="42" fillId="59" borderId="0" xfId="0" applyNumberFormat="1" applyFont="1" applyFill="1" applyBorder="1"/>
    <x:xf numFmtId="0" fontId="42" fillId="59" borderId="0" xfId="0" applyNumberFormat="1" applyFont="1" applyFill="1" applyBorder="1"/>
    <x:xf numFmtId="210" fontId="42" fillId="58" borderId="0" xfId="0" applyNumberFormat="1" applyFont="1" applyFill="1" applyBorder="1" applyAlignment="1">
      <x:alignment wrapText="1"/>
    </x:xf>
    <x:xf numFmtId="210" fontId="42" fillId="59" borderId="0" xfId="0" applyNumberFormat="1" applyFont="1" applyFill="1" applyBorder="1" applyAlignment="1">
      <x:alignment wrapText="1"/>
    </x:xf>
    <x:xf numFmtId="0" fontId="42" fillId="59" borderId="0" xfId="0" applyNumberFormat="1" applyFont="1" applyFill="1" applyBorder="1" applyAlignment="1">
      <x:alignment wrapText="1"/>
    </x:xf>
    <x:xf numFmtId="0" fontId="27" fillId="4" borderId="0" xfId="0" applyNumberFormat="1" applyFont="1" applyFill="1" applyBorder="1" applyAlignment="1">
      <x:alignment vertical="top"/>
    </x:xf>
    <x:xf numFmtId="0" fontId="27" fillId="4" borderId="0" xfId="0" applyNumberFormat="1" applyFont="1" applyFill="1" applyBorder="1" applyAlignment="1">
      <x:alignment vertical="top" wrapText="1"/>
    </x:xf>
    <x:xf numFmtId="218" fontId="41" fillId="4" borderId="0" xfId="0" applyNumberFormat="1" applyFont="1" applyFill="1" applyBorder="1" applyAlignment="1">
      <x:alignment wrapText="1"/>
    </x:xf>
    <x:xf numFmtId="203" fontId="42" fillId="42" borderId="0" xfId="0" applyNumberFormat="1" applyFont="1" applyFill="1" applyBorder="1" applyAlignment="1">
      <x:alignment wrapText="1"/>
    </x:xf>
    <x:xf numFmtId="0" fontId="42" fillId="42" borderId="0" xfId="0" applyNumberFormat="1" applyFont="1" applyFill="1" applyBorder="1" applyAlignment="1">
      <x:alignment wrapText="1"/>
    </x:xf>
    <x:xf numFmtId="217" fontId="42" fillId="42" borderId="0" xfId="0" applyNumberFormat="1" applyFont="1" applyFill="1" applyBorder="1" applyAlignment="1">
      <x:alignment wrapText="1"/>
    </x:xf>
    <x:xf numFmtId="223" fontId="42" fillId="42" borderId="0" xfId="0" applyNumberFormat="1" applyFont="1" applyFill="1" applyBorder="1" applyAlignment="1">
      <x:alignment wrapText="1"/>
    </x:xf>
    <x:xf numFmtId="210" fontId="42" fillId="40" borderId="0" xfId="0" applyNumberFormat="1" applyFont="1" applyFill="1" applyBorder="1" applyAlignment="1">
      <x:alignment wrapText="1"/>
    </x:xf>
    <x:xf numFmtId="0" fontId="42" fillId="40" borderId="0" xfId="0" applyNumberFormat="1" applyFont="1" applyFill="1" applyBorder="1" applyAlignment="1">
      <x:alignment wrapText="1"/>
    </x:xf>
    <x:xf numFmtId="210" fontId="42" fillId="4" borderId="0" xfId="0" applyNumberFormat="1" applyFont="1" applyFill="1" applyBorder="1" applyAlignment="1">
      <x:alignment wrapText="1"/>
    </x:xf>
    <x:xf numFmtId="0" fontId="42" fillId="4" borderId="0" xfId="0" applyNumberFormat="1" applyFont="1" applyFill="1" applyBorder="1" applyAlignment="1">
      <x:alignment wrapText="1"/>
    </x:xf>
    <x:xf numFmtId="223" fontId="42" fillId="40" borderId="0" xfId="0" applyNumberFormat="1" applyFont="1" applyFill="1" applyBorder="1" applyAlignment="1">
      <x:alignment wrapText="1"/>
    </x:xf>
    <x:xf numFmtId="203" fontId="42" fillId="40" borderId="0" xfId="0" applyNumberFormat="1" applyFont="1" applyFill="1" applyBorder="1" applyAlignment="1">
      <x:alignment wrapText="1"/>
    </x:xf>
    <x:xf numFmtId="223" fontId="42" fillId="4" borderId="0" xfId="0" applyNumberFormat="1" applyFont="1" applyFill="1" applyBorder="1" applyAlignment="1">
      <x:alignment wrapText="1"/>
    </x:xf>
    <x:xf numFmtId="203" fontId="42" fillId="42" borderId="0" xfId="0" applyNumberFormat="1" applyFont="1" applyFill="1" applyBorder="1"/>
    <x:xf numFmtId="0" fontId="42" fillId="42" borderId="0" xfId="0" applyNumberFormat="1" applyFont="1" applyFill="1" applyBorder="1"/>
    <x:xf numFmtId="223" fontId="42" fillId="42" borderId="0" xfId="0" applyNumberFormat="1" applyFont="1" applyFill="1" applyBorder="1"/>
    <x:xf numFmtId="210" fontId="42" fillId="42" borderId="0" xfId="0" applyNumberFormat="1" applyFont="1" applyFill="1" applyBorder="1"/>
    <x:xf numFmtId="210" fontId="42" fillId="47" borderId="0" xfId="0" applyNumberFormat="1" applyFont="1" applyFill="1" applyBorder="1"/>
    <x:xf numFmtId="0" fontId="42" fillId="47" borderId="0" xfId="0" applyNumberFormat="1" applyFont="1" applyFill="1" applyBorder="1"/>
    <x:xf numFmtId="210" fontId="42" fillId="42" borderId="0" xfId="0" applyNumberFormat="1" applyFont="1" applyFill="1" applyBorder="1" applyAlignment="1">
      <x:alignment wrapText="1"/>
    </x:xf>
    <x:xf numFmtId="210" fontId="42" fillId="47" borderId="0" xfId="0" applyNumberFormat="1" applyFont="1" applyFill="1" applyBorder="1" applyAlignment="1">
      <x:alignment wrapText="1"/>
    </x:xf>
    <x:xf numFmtId="0" fontId="42" fillId="47" borderId="0" xfId="0" applyNumberFormat="1" applyFont="1" applyFill="1" applyBorder="1" applyAlignment="1">
      <x:alignment wrapText="1"/>
    </x:xf>
    <x:xf numFmtId="0" fontId="39" fillId="60" borderId="0" xfId="0" applyNumberFormat="1" applyFont="1" applyFill="1" applyBorder="1" applyAlignment="1">
      <x:alignment vertical="center" wrapText="1"/>
    </x:xf>
  </x:cellXfs>
  <x:cellStyles count="1">
    <x:cellStyle name="Normal" xfId="0"/>
  </x:cellStyles>
  <x:dxfs count="17">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CE4D6"/>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d0eff6fd9a1346f1" /><Relationship Type="http://schemas.openxmlformats.org/officeDocument/2006/relationships/theme" Target="/xl/theme/theme1.xml" Id="R2c7b226b41084e16" /><Relationship Type="http://schemas.openxmlformats.org/officeDocument/2006/relationships/sharedStrings" Target="/xl/sharedStrings.xml" Id="Re7536b74e09c49c6" /><Relationship Type="http://schemas.openxmlformats.org/officeDocument/2006/relationships/worksheet" Target="/xl/worksheets/sheet1.xml" Id="Re6946334fdc241e2" /><Relationship Type="http://schemas.openxmlformats.org/officeDocument/2006/relationships/worksheet" Target="/xl/worksheets/sheet2.xml" Id="R5feee20011264c85" /><Relationship Type="http://schemas.openxmlformats.org/officeDocument/2006/relationships/worksheet" Target="/xl/worksheets/sheet3.xml" Id="Rd4a741da92a8407f" /><Relationship Type="http://schemas.openxmlformats.org/officeDocument/2006/relationships/worksheet" Target="/xl/worksheets/sheet4.xml" Id="R455fdf76903b4815" /><Relationship Type="http://schemas.openxmlformats.org/officeDocument/2006/relationships/worksheet" Target="/xl/worksheets/sheet5.xml" Id="R30b16434d32f4738" /><Relationship Type="http://schemas.openxmlformats.org/officeDocument/2006/relationships/worksheet" Target="/xl/worksheets/sheet6.xml" Id="R8c92e082fd17403f" /><Relationship Type="http://schemas.openxmlformats.org/officeDocument/2006/relationships/worksheet" Target="/xl/worksheets/sheet7.xml" Id="R2e7b9d0ca31347f0" /><Relationship Type="http://schemas.openxmlformats.org/officeDocument/2006/relationships/worksheet" Target="/xl/worksheets/sheet8.xml" Id="Rce4807360a984b61" /><Relationship Type="http://schemas.openxmlformats.org/officeDocument/2006/relationships/worksheet" Target="/xl/worksheets/sheet9.xml" Id="Rdafea848a3f246d5" /><Relationship Type="http://schemas.openxmlformats.org/officeDocument/2006/relationships/worksheet" Target="/xl/worksheets/sheet10.xml" Id="R9bd39a3f649547db" /><Relationship Type="http://schemas.openxmlformats.org/officeDocument/2006/relationships/worksheet" Target="/xl/worksheets/sheet11.xml" Id="Ra1248018040c4c90" /><Relationship Type="http://schemas.openxmlformats.org/officeDocument/2006/relationships/worksheet" Target="/xl/worksheets/sheet12.xml" Id="Rcb9010058ff54eb8" /><Relationship Type="http://schemas.openxmlformats.org/officeDocument/2006/relationships/worksheet" Target="/xl/worksheets/sheet13.xml" Id="R0ce4bdb265844a93" /><Relationship Type="http://schemas.openxmlformats.org/officeDocument/2006/relationships/worksheet" Target="/xl/worksheets/sheet14.xml" Id="Rb5bfce31314744b6" /><Relationship Type="http://schemas.openxmlformats.org/officeDocument/2006/relationships/worksheet" Target="/xl/worksheets/sheet15.xml" Id="Ra76cc9815bed43eb" /><Relationship Type="http://schemas.openxmlformats.org/officeDocument/2006/relationships/worksheet" Target="/xl/worksheets/sheet16.xml" Id="R444eb453316d4b48" /><Relationship Type="http://schemas.openxmlformats.org/officeDocument/2006/relationships/worksheet" Target="/xl/worksheets/sheet17.xml" Id="Re4c3d3081b864a51" /><Relationship Type="http://schemas.openxmlformats.org/officeDocument/2006/relationships/worksheet" Target="/xl/worksheets/sheet18.xml" Id="R530f4bef2d504a38" /><Relationship Type="http://schemas.openxmlformats.org/officeDocument/2006/relationships/worksheet" Target="/xl/worksheets/sheet19.xml" Id="R222844bc0ffe44bb" /><Relationship Type="http://schemas.openxmlformats.org/officeDocument/2006/relationships/worksheet" Target="/xl/worksheets/sheet20.xml" Id="R1a55ef744b204c31" /><Relationship Type="http://schemas.openxmlformats.org/officeDocument/2006/relationships/worksheet" Target="/xl/worksheets/sheet21.xml" Id="R0305a1712f894af7" /></Relationships>
</file>

<file path=xl/drawings/_rels/drawing1.xml.rels>&#65279;<?xml version="1.0" encoding="utf-8"?><Relationships xmlns="http://schemas.openxmlformats.org/package/2006/relationships"><Relationship Type="http://schemas.openxmlformats.org/officeDocument/2006/relationships/chart" Target="/xl/drawings/charts/chart1.xml" Id="Rc2ced21215bd4531"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One annual cohort: mature annual cost versus present value of lifetime benefits</a:t>
            </a:r>
          </a:p>
        </c:rich>
      </c:tx>
      <c:overlay val="0"/>
    </c:title>
    <c:autoTitleDeleted val="0"/>
    <c:plotArea>
      <c:layout/>
      <c:barChart>
        <c:barDir val="col"/>
        <c:varyColors val="0"/>
        <c:ser>
          <c:idx val="0"/>
          <c:order val="0"/>
          <c:tx>
            <c:v>Value</c:v>
          </c:tx>
          <c:cat>
            <c:strRef>
              <c:f>'Executive Summary'!$A$48:$A$52</c:f>
              <c:strCache>
                <c:ptCount val="0"/>
              </c:strCache>
            </c:strRef>
          </c:cat>
          <c:val>
            <c:numRef>
              <c:f>'Executive Summary'!$B$48:$B$52</c:f>
              <c:numCache>
                <c:formatCode>$0.0,,"m";[Red]($0.0,,"m");-</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7</xdr:col>
      <xdr:colOff>0</xdr:colOff>
      <xdr:row>46</xdr:row>
      <xdr:rowOff>0</xdr:rowOff>
    </xdr:from>
    <xdr:to>
      <xdr:col>12</xdr:col>
      <xdr:colOff>0</xdr:colOff>
      <xdr:row>63</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c2ced21215bd4531"/>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drawing" Target="/xl/drawings/drawing1.xml" Id="R10a1bc7fdd3e4589" /></Relationships>
</file>

<file path=xl/worksheets/sheet1.xml><?xml version="1.0" encoding="utf-8"?>
<x:worksheet xmlns:x="http://schemas.openxmlformats.org/spreadsheetml/2006/main">
  <x:sheetFormatPr defaultRowHeight="15"/>
  <x:cols>
    <x:col min="1" max="1" width="48" hidden="0" customWidth="1"/>
    <x:col min="2" max="2" width="19" hidden="0" customWidth="1"/>
    <x:col min="3" max="3" width="48" hidden="0" customWidth="1"/>
    <x:col min="4" max="4" width="18" hidden="0" customWidth="1"/>
    <x:col min="5" max="5" width="27" hidden="0" customWidth="1"/>
    <x:col min="6" max="6" width="27" hidden="0" customWidth="1"/>
    <x:col min="7" max="7" width="27" hidden="0" customWidth="1"/>
    <x:col min="8" max="8" width="34" hidden="0" customWidth="1"/>
    <x:col min="9" max="9" width="18" hidden="0" customWidth="1"/>
    <x:col min="10" max="10" width="48" hidden="0" customWidth="1"/>
    <x:col min="11" max="11" width="18" hidden="0" customWidth="1"/>
    <x:col min="12" max="12" width="18" hidden="0" customWidth="1"/>
  </x:cols>
  <x:sheetData>
    <x:row r="1" ht="30" customHeight="1">
      <x:c r="A1" s="795" t="str">
        <x:v>He Ara Angitū — Standalone Three-Stage Financial Case</x:v>
      </x:c>
      <x:c r="B1" s="795"/>
      <x:c r="C1" s="795"/>
      <x:c r="D1" s="795"/>
      <x:c r="E1" s="795"/>
      <x:c r="F1" s="795"/>
      <x:c r="G1" s="795"/>
      <x:c r="H1" s="795"/>
      <x:c r="I1" s="795"/>
      <x:c r="J1" s="795"/>
      <x:c r="K1" s="795"/>
      <x:c r="L1" s="795"/>
      <x:c r="M1" s="339"/>
      <x:c r="N1" s="339"/>
      <x:c r="O1" s="339"/>
      <x:c r="P1" s="339"/>
      <x:c r="Q1" s="339"/>
      <x:c r="R1" s="339"/>
      <x:c r="S1" s="339"/>
      <x:c r="T1" s="339"/>
      <x:c r="U1" s="339"/>
      <x:c r="V1" s="339"/>
      <x:c r="W1" s="339"/>
      <x:c r="X1" s="339"/>
      <x:c r="Y1" s="339"/>
      <x:c r="Z1" s="339"/>
    </x:row>
    <x:row r="2" ht="24" customHeight="1">
      <x:c r="A2" s="796" t="str">
        <x:v>Stage 0 feasibility and co-design, a three-year pilot, and a conditional national implementation. NZD unless stated.</x:v>
      </x:c>
      <x:c r="B2" s="796"/>
      <x:c r="C2" s="796"/>
      <x:c r="D2" s="796"/>
      <x:c r="E2" s="796"/>
      <x:c r="F2" s="796"/>
      <x:c r="G2" s="796"/>
      <x:c r="H2" s="796"/>
      <x:c r="I2" s="796"/>
      <x:c r="J2" s="796"/>
      <x:c r="K2" s="796"/>
      <x:c r="L2" s="796"/>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x:c r="A4" s="799" t="str">
        <x:v>Half of each verified participation payment is immediately accessible and half is deposited into the He Ara Angitū Learning Capital Account. Both portions remain programme expenditure. The protected account may earn uncertain investment returns and may later pay approved education, training, apprenticeship, licensing, tool and equipment costs. Where withdrawals genuinely replace student borrowing, the official student-loan fair-value cost provides the central Crown offset. Inflation erosion and annual cost of ownership are shown separately and are not double counted.</x:v>
      </x:c>
      <x:c r="B4" s="799"/>
      <x:c r="C4" s="799"/>
      <x:c r="D4" s="799"/>
      <x:c r="E4" s="799"/>
      <x:c r="F4" s="799"/>
      <x:c r="G4" s="799"/>
      <x:c r="H4" s="799"/>
      <x:c r="I4" s="799"/>
      <x:c r="J4" s="799"/>
      <x:c r="K4" s="799"/>
      <x:c r="L4" s="799"/>
      <x:c r="M4" s="339"/>
      <x:c r="N4" s="339"/>
      <x:c r="O4" s="339"/>
      <x:c r="P4" s="339"/>
      <x:c r="Q4" s="339"/>
      <x:c r="R4" s="339"/>
      <x:c r="S4" s="339"/>
      <x:c r="T4" s="339"/>
      <x:c r="U4" s="339"/>
      <x:c r="V4" s="339"/>
      <x:c r="W4" s="339"/>
      <x:c r="X4" s="339"/>
      <x:c r="Y4" s="339"/>
      <x:c r="Z4" s="339"/>
    </x:row>
    <x:row r="5">
      <x:c r="A5" s="799"/>
      <x:c r="B5" s="799"/>
      <x:c r="C5" s="799"/>
      <x:c r="D5" s="799"/>
      <x:c r="E5" s="799"/>
      <x:c r="F5" s="799"/>
      <x:c r="G5" s="799"/>
      <x:c r="H5" s="799"/>
      <x:c r="I5" s="799"/>
      <x:c r="J5" s="799"/>
      <x:c r="K5" s="799"/>
      <x:c r="L5" s="799"/>
      <x:c r="M5" s="339"/>
      <x:c r="N5" s="339"/>
      <x:c r="O5" s="339"/>
      <x:c r="P5" s="339"/>
      <x:c r="Q5" s="339"/>
      <x:c r="R5" s="339"/>
      <x:c r="S5" s="339"/>
      <x:c r="T5" s="339"/>
      <x:c r="U5" s="339"/>
      <x:c r="V5" s="339"/>
      <x:c r="W5" s="339"/>
      <x:c r="X5" s="339"/>
      <x:c r="Y5" s="339"/>
      <x:c r="Z5" s="339"/>
    </x:row>
    <x:row r="6">
      <x:c r="A6" s="800"/>
      <x:c r="B6" s="800"/>
      <x:c r="C6" s="800"/>
      <x:c r="D6" s="800"/>
      <x:c r="E6" s="800"/>
      <x:c r="F6" s="800"/>
      <x:c r="G6" s="800"/>
      <x:c r="H6" s="800"/>
      <x:c r="I6" s="800"/>
      <x:c r="J6" s="800"/>
      <x:c r="K6" s="800"/>
      <x:c r="L6" s="800"/>
      <x:c r="M6" s="339"/>
      <x:c r="N6" s="339"/>
      <x:c r="O6" s="339"/>
      <x:c r="P6" s="339"/>
      <x:c r="Q6" s="339"/>
      <x:c r="R6" s="339"/>
      <x:c r="S6" s="339"/>
      <x:c r="T6" s="339"/>
      <x:c r="U6" s="339"/>
      <x:c r="V6" s="339"/>
      <x:c r="W6" s="339"/>
      <x:c r="X6" s="339"/>
      <x:c r="Y6" s="339"/>
      <x:c r="Z6" s="339"/>
    </x:row>
    <x:row r="7" ht="21" customHeight="1">
      <x:c r="A7" s="342"/>
      <x:c r="B7" s="342"/>
      <x:c r="C7" s="342"/>
      <x:c r="D7" s="342"/>
      <x:c r="E7" s="342"/>
      <x:c r="F7" s="342"/>
      <x:c r="G7" s="339"/>
      <x:c r="H7" s="342"/>
      <x:c r="I7" s="342"/>
      <x:c r="J7" s="342"/>
      <x:c r="K7" s="342"/>
      <x:c r="L7" s="342"/>
      <x:c r="M7" s="339"/>
      <x:c r="N7" s="339"/>
      <x:c r="O7" s="339"/>
      <x:c r="P7" s="339"/>
      <x:c r="Q7" s="339"/>
      <x:c r="R7" s="339"/>
      <x:c r="S7" s="339"/>
      <x:c r="T7" s="339"/>
      <x:c r="U7" s="339"/>
      <x:c r="V7" s="339"/>
      <x:c r="W7" s="339"/>
      <x:c r="X7" s="339"/>
      <x:c r="Y7" s="339"/>
      <x:c r="Z7" s="339"/>
    </x:row>
    <x:row r="8" ht="23" customHeight="1">
      <x:c r="A8" s="801" t="str">
        <x:v>Three-stage cost range</x:v>
      </x:c>
      <x:c r="B8" s="801" t="str">
        <x:v>Three-stage cost range</x:v>
      </x:c>
      <x:c r="C8" s="801" t="str">
        <x:v>Three-stage cost range</x:v>
      </x:c>
      <x:c r="D8" s="801" t="str">
        <x:v>Three-stage cost range</x:v>
      </x:c>
      <x:c r="E8" s="801" t="str">
        <x:v>Three-stage cost range</x:v>
      </x:c>
      <x:c r="F8" s="801" t="str">
        <x:v>Three-stage cost range</x:v>
      </x:c>
      <x:c r="G8" s="339"/>
      <x:c r="H8" s="801" t="str">
        <x:v>Central participant financial outcome</x:v>
      </x:c>
      <x:c r="I8" s="801" t="str">
        <x:v>Central participant financial outcome</x:v>
      </x:c>
      <x:c r="J8" s="801" t="str">
        <x:v>Central participant financial outcome</x:v>
      </x:c>
      <x:c r="K8" s="801" t="str">
        <x:v>Central participant financial outcome</x:v>
      </x:c>
      <x:c r="L8" s="801" t="str">
        <x:v>Central participant financial outcome</x:v>
      </x:c>
      <x:c r="M8" s="339"/>
      <x:c r="N8" s="339"/>
      <x:c r="O8" s="339"/>
      <x:c r="P8" s="339"/>
      <x:c r="Q8" s="339"/>
      <x:c r="R8" s="339"/>
      <x:c r="S8" s="339"/>
      <x:c r="T8" s="339"/>
      <x:c r="U8" s="339"/>
      <x:c r="V8" s="339"/>
      <x:c r="W8" s="339"/>
      <x:c r="X8" s="339"/>
      <x:c r="Y8" s="339"/>
      <x:c r="Z8" s="339"/>
    </x:row>
    <x:row r="9" ht="28" customHeight="1">
      <x:c r="A9" s="803" t="str">
        <x:v>Stage</x:v>
      </x:c>
      <x:c r="B9" s="804" t="str">
        <x:v>Low</x:v>
      </x:c>
      <x:c r="C9" s="804" t="str">
        <x:v>Central</x:v>
      </x:c>
      <x:c r="D9" s="804" t="str">
        <x:v>High</x:v>
      </x:c>
      <x:c r="E9" s="339"/>
      <x:c r="F9" s="339"/>
      <x:c r="G9" s="339"/>
      <x:c r="H9" s="803" t="str">
        <x:v>Metric</x:v>
      </x:c>
      <x:c r="I9" s="805" t="str">
        <x:v>Central result</x:v>
      </x:c>
      <x:c r="J9" s="803" t="str">
        <x:v>Interpretation</x:v>
      </x:c>
      <x:c r="K9" s="339"/>
      <x:c r="L9" s="339"/>
      <x:c r="M9" s="339"/>
      <x:c r="N9" s="339"/>
      <x:c r="O9" s="339"/>
      <x:c r="P9" s="339"/>
      <x:c r="Q9" s="339"/>
      <x:c r="R9" s="339"/>
      <x:c r="S9" s="339"/>
      <x:c r="T9" s="339"/>
      <x:c r="U9" s="339"/>
      <x:c r="V9" s="339"/>
      <x:c r="W9" s="339"/>
      <x:c r="X9" s="339"/>
      <x:c r="Y9" s="339"/>
      <x:c r="Z9" s="339"/>
    </x:row>
    <x:row r="10">
      <x:c r="A10" s="58" t="str">
        <x:v>Stage 0 — Year 0 feasibility, co-design and business case</x:v>
      </x:c>
      <x:c r="B10" s="346" t="n">
        <x:f>'Stage 0 - Year 0'!$G$54</x:f>
        <x:v>4159760</x:v>
      </x:c>
      <x:c r="C10" s="346" t="n">
        <x:f>'Stage 0 - Year 0'!$H$54</x:f>
        <x:v>5317875</x:v>
      </x:c>
      <x:c r="D10" s="346" t="n">
        <x:f>'Stage 0 - Year 0'!$I$54</x:f>
        <x:v>7374120</x:v>
      </x:c>
      <x:c r="E10" s="339"/>
      <x:c r="F10" s="339"/>
      <x:c r="G10" s="339"/>
      <x:c r="H10" s="28" t="str">
        <x:v>Annual verified participation payment</x:v>
      </x:c>
      <x:c r="I10" s="345" t="n">
        <x:f>'Learning Capital &amp; ROI'!$C$8</x:f>
        <x:v>3900</x:v>
      </x:c>
      <x:c r="J10" s="28" t="str">
        <x:v>$1,950 immediately accessible and $1,950 protected.</x:v>
      </x:c>
      <x:c r="K10" s="339"/>
      <x:c r="L10" s="339"/>
      <x:c r="M10" s="339"/>
      <x:c r="N10" s="339"/>
      <x:c r="O10" s="339"/>
      <x:c r="P10" s="339"/>
      <x:c r="Q10" s="339"/>
      <x:c r="R10" s="339"/>
      <x:c r="S10" s="339"/>
      <x:c r="T10" s="339"/>
      <x:c r="U10" s="339"/>
      <x:c r="V10" s="339"/>
      <x:c r="W10" s="339"/>
      <x:c r="X10" s="339"/>
      <x:c r="Y10" s="339"/>
      <x:c r="Z10" s="339"/>
    </x:row>
    <x:row r="11">
      <x:c r="A11" s="28" t="str">
        <x:v>Stage 1 — Three-year pilot</x:v>
      </x:c>
      <x:c r="B11" s="344" t="n">
        <x:f>'Stage 1 - Pilot'!$E$5</x:f>
        <x:v>73226197.507575</x:v>
      </x:c>
      <x:c r="C11" s="344" t="n">
        <x:f>'Stage 1 - Pilot'!$E$6</x:f>
        <x:v>97579970.263125</x:v>
      </x:c>
      <x:c r="D11" s="344" t="n">
        <x:f>'Stage 1 - Pilot'!$E$7</x:f>
        <x:v>128447627.0175</x:v>
      </x:c>
      <x:c r="E11" s="339"/>
      <x:c r="F11" s="339"/>
      <x:c r="G11" s="339"/>
      <x:c r="H11" s="28" t="str">
        <x:v>Nominal five-year Learning Capital contribution</x:v>
      </x:c>
      <x:c r="I11" s="345" t="n">
        <x:f>'Learning Capital &amp; ROI'!$C$23</x:f>
        <x:v>9750</x:v>
      </x:c>
      <x:c r="J11" s="28" t="str">
        <x:v>Five annual protected contributions.</x:v>
      </x:c>
      <x:c r="K11" s="339"/>
      <x:c r="L11" s="339"/>
      <x:c r="M11" s="339"/>
      <x:c r="N11" s="339"/>
      <x:c r="O11" s="339"/>
      <x:c r="P11" s="339"/>
      <x:c r="Q11" s="339"/>
      <x:c r="R11" s="339"/>
      <x:c r="S11" s="339"/>
      <x:c r="T11" s="339"/>
      <x:c r="U11" s="339"/>
      <x:c r="V11" s="339"/>
      <x:c r="W11" s="339"/>
      <x:c r="X11" s="339"/>
      <x:c r="Y11" s="339"/>
      <x:c r="Z11" s="339"/>
    </x:row>
    <x:row r="12">
      <x:c r="A12" s="28" t="str">
        <x:v>Stage 2 — Mature annual national run-rate</x:v>
      </x:c>
      <x:c r="B12" s="344" t="n">
        <x:f>'Stage 2 - National'!$H$5</x:f>
        <x:v>987458315.885</x:v>
      </x:c>
      <x:c r="C12" s="344" t="n">
        <x:f>'Stage 2 - National'!$H$6</x:f>
        <x:v>1526137729.0833335</x:v>
      </x:c>
      <x:c r="D12" s="344" t="n">
        <x:f>'Stage 2 - National'!$H$7</x:f>
        <x:v>2007364967.65625</x:v>
      </x:c>
      <x:c r="E12" s="339"/>
      <x:c r="F12" s="339"/>
      <x:c r="G12" s="339"/>
      <x:c r="H12" s="28" t="str">
        <x:v>Projected closing nominal account balance</x:v>
      </x:c>
      <x:c r="I12" s="345" t="n">
        <x:f>'Learning Capital &amp; ROI'!$C$26</x:f>
        <x:v>10681.574885879425</x:v>
      </x:c>
      <x:c r="J12" s="28" t="str">
        <x:v>Includes uncertain net investment return and lifecycle de-risking.</x:v>
      </x:c>
      <x:c r="K12" s="339"/>
      <x:c r="L12" s="339"/>
      <x:c r="M12" s="339"/>
      <x:c r="N12" s="339"/>
      <x:c r="O12" s="339"/>
      <x:c r="P12" s="339"/>
      <x:c r="Q12" s="339"/>
      <x:c r="R12" s="339"/>
      <x:c r="S12" s="339"/>
      <x:c r="T12" s="339"/>
      <x:c r="U12" s="339"/>
      <x:c r="V12" s="339"/>
      <x:c r="W12" s="339"/>
      <x:c r="X12" s="339"/>
      <x:c r="Y12" s="339"/>
      <x:c r="Z12" s="339"/>
    </x:row>
    <x:row r="13">
      <x:c r="A13" s="28" t="str">
        <x:v>Stage 2 — Five-year implementation cash cost</x:v>
      </x:c>
      <x:c r="B13" s="344" t="n">
        <x:f>C13*('Stage 2 - National'!$H$5/'Stage 2 - National'!$H$6)</x:f>
        <x:v>2936170544.7533245</x:v>
      </x:c>
      <x:c r="C13" s="344" t="n">
        <x:f>'Stage 2 - National'!$J$48</x:f>
        <x:v>4537913727.8875</x:v>
      </x:c>
      <x:c r="D13" s="344" t="n">
        <x:f>C13*('Stage 2 - National'!$H$7/'Stage 2 - National'!$H$6)</x:f>
        <x:v>5968825008.394993</x:v>
      </x:c>
      <x:c r="E13" s="339"/>
      <x:c r="F13" s="339"/>
      <x:c r="G13" s="339"/>
      <x:c r="H13" s="28" t="str">
        <x:v>Projected closing real account balance</x:v>
      </x:c>
      <x:c r="I13" s="345" t="n">
        <x:f>'Learning Capital &amp; ROI'!$C$29</x:f>
        <x:v>9559.88837804382</x:v>
      </x:c>
      <x:c r="J13" s="28" t="str">
        <x:v>Expressed in 2026 purchasing power.</x:v>
      </x:c>
      <x:c r="K13" s="339"/>
      <x:c r="L13" s="339"/>
      <x:c r="M13" s="339"/>
      <x:c r="N13" s="339"/>
      <x:c r="O13" s="339"/>
      <x:c r="P13" s="339"/>
      <x:c r="Q13" s="339"/>
      <x:c r="R13" s="339"/>
      <x:c r="S13" s="339"/>
      <x:c r="T13" s="339"/>
      <x:c r="U13" s="339"/>
      <x:c r="V13" s="339"/>
      <x:c r="W13" s="339"/>
      <x:c r="X13" s="339"/>
      <x:c r="Y13" s="339"/>
      <x:c r="Z13" s="339"/>
    </x:row>
    <x:row r="14">
      <x:c r="A14" s="339"/>
      <x:c r="B14" s="339"/>
      <x:c r="C14" s="339"/>
      <x:c r="D14" s="339"/>
      <x:c r="E14" s="339"/>
      <x:c r="F14" s="339"/>
      <x:c r="G14" s="339"/>
      <x:c r="H14" s="28" t="str">
        <x:v>Potential student-loan principal displaced</x:v>
      </x:c>
      <x:c r="I14" s="345" t="n">
        <x:f>'Learning Capital &amp; ROI'!$C$31</x:f>
        <x:v>2748.155586639059</x:v>
      </x:c>
      <x:c r="J14" s="28" t="str">
        <x:v>Expected counterfactual borrowing replacement, not the full account balance.</x:v>
      </x:c>
      <x:c r="K14" s="339"/>
      <x:c r="L14" s="339"/>
      <x:c r="M14" s="339"/>
      <x:c r="N14" s="339"/>
      <x:c r="O14" s="339"/>
      <x:c r="P14" s="339"/>
      <x:c r="Q14" s="339"/>
      <x:c r="R14" s="339"/>
      <x:c r="S14" s="339"/>
      <x:c r="T14" s="339"/>
      <x:c r="U14" s="339"/>
      <x:c r="V14" s="339"/>
      <x:c r="W14" s="339"/>
      <x:c r="X14" s="339"/>
      <x:c r="Y14" s="339"/>
      <x:c r="Z14" s="339"/>
    </x:row>
    <x:row r="15">
      <x:c r="A15" s="339"/>
      <x:c r="B15" s="339"/>
      <x:c r="C15" s="339"/>
      <x:c r="D15" s="339"/>
      <x:c r="E15" s="339"/>
      <x:c r="F15" s="339"/>
      <x:c r="G15" s="339"/>
      <x:c r="H15" s="28" t="str">
        <x:v>Debt displacement vs audited median balance</x:v>
      </x:c>
      <x:c r="I15" s="347" t="n">
        <x:f>'Learning Capital &amp; ROI'!$C$34</x:f>
        <x:v>0.15652762924412253</x:v>
      </x:c>
      <x:c r="J15" s="28" t="str">
        <x:v>Illustrative percentage of the $17,557 audited median balance.</x:v>
      </x:c>
      <x:c r="K15" s="339"/>
      <x:c r="L15" s="339"/>
      <x:c r="M15" s="339"/>
      <x:c r="N15" s="339"/>
      <x:c r="O15" s="339"/>
      <x:c r="P15" s="339"/>
      <x:c r="Q15" s="339"/>
      <x:c r="R15" s="339"/>
      <x:c r="S15" s="339"/>
      <x:c r="T15" s="339"/>
      <x:c r="U15" s="339"/>
      <x:c r="V15" s="339"/>
      <x:c r="W15" s="339"/>
      <x:c r="X15" s="339"/>
      <x:c r="Y15" s="339"/>
      <x:c r="Z15" s="339"/>
    </x:row>
    <x:row r="16" ht="21" customHeight="1">
      <x:c r="A16" s="342"/>
      <x:c r="B16" s="342"/>
      <x:c r="C16" s="342"/>
      <x:c r="D16" s="342"/>
      <x:c r="E16" s="342"/>
      <x:c r="F16" s="342"/>
      <x:c r="G16" s="339"/>
      <x:c r="H16" s="342"/>
      <x:c r="I16" s="342"/>
      <x:c r="J16" s="342"/>
      <x:c r="K16" s="342"/>
      <x:c r="L16" s="342"/>
      <x:c r="M16" s="339"/>
      <x:c r="N16" s="339"/>
      <x:c r="O16" s="339"/>
      <x:c r="P16" s="339"/>
      <x:c r="Q16" s="339"/>
      <x:c r="R16" s="339"/>
      <x:c r="S16" s="339"/>
      <x:c r="T16" s="339"/>
      <x:c r="U16" s="339"/>
      <x:c r="V16" s="339"/>
      <x:c r="W16" s="339"/>
      <x:c r="X16" s="339"/>
      <x:c r="Y16" s="339"/>
      <x:c r="Z16" s="339"/>
    </x:row>
    <x:row r="17" ht="28" customHeight="1">
      <x:c r="A17" s="343"/>
      <x:c r="B17" s="343"/>
      <x:c r="C17" s="343"/>
      <x:c r="D17" s="339"/>
      <x:c r="E17" s="339"/>
      <x:c r="F17" s="339"/>
      <x:c r="G17" s="339"/>
      <x:c r="H17" s="322"/>
      <x:c r="I17" s="322"/>
      <x:c r="J17" s="322"/>
      <x:c r="K17" s="322"/>
      <x:c r="L17" s="322"/>
      <x:c r="M17" s="339"/>
      <x:c r="N17" s="339"/>
      <x:c r="O17" s="339"/>
      <x:c r="P17" s="339"/>
      <x:c r="Q17" s="339"/>
      <x:c r="R17" s="339"/>
      <x:c r="S17" s="339"/>
      <x:c r="T17" s="339"/>
      <x:c r="U17" s="339"/>
      <x:c r="V17" s="339"/>
      <x:c r="W17" s="339"/>
      <x:c r="X17" s="339"/>
      <x:c r="Y17" s="339"/>
      <x:c r="Z17" s="339"/>
    </x:row>
    <x:row r="18" ht="23" customHeight="1">
      <x:c r="A18" s="801" t="str">
        <x:v>Crown student-loan outcome — annual national cohort</x:v>
      </x:c>
      <x:c r="B18" s="806" t="str">
        <x:v>Crown student-loan outcome — annual national cohort</x:v>
      </x:c>
      <x:c r="C18" s="801" t="str">
        <x:v>Crown student-loan outcome — annual national cohort</x:v>
      </x:c>
      <x:c r="D18" s="801" t="str">
        <x:v>Crown student-loan outcome — annual national cohort</x:v>
      </x:c>
      <x:c r="E18" s="801" t="str">
        <x:v>Crown student-loan outcome — annual national cohort</x:v>
      </x:c>
      <x:c r="F18" s="801" t="str">
        <x:v>Crown student-loan outcome — annual national cohort</x:v>
      </x:c>
      <x:c r="G18" s="339"/>
      <x:c r="H18" s="801" t="str">
        <x:v>Social return and justice sensitivity</x:v>
      </x:c>
      <x:c r="I18" s="801" t="str">
        <x:v>Social return and justice sensitivity</x:v>
      </x:c>
      <x:c r="J18" s="801" t="str">
        <x:v>Social return and justice sensitivity</x:v>
      </x:c>
      <x:c r="K18" s="801" t="str">
        <x:v>Social return and justice sensitivity</x:v>
      </x:c>
      <x:c r="L18" s="801" t="str">
        <x:v>Social return and justice sensitivity</x:v>
      </x:c>
      <x:c r="M18" s="339"/>
      <x:c r="N18" s="339"/>
      <x:c r="O18" s="339"/>
      <x:c r="P18" s="339"/>
      <x:c r="Q18" s="339"/>
      <x:c r="R18" s="339"/>
      <x:c r="S18" s="339"/>
      <x:c r="T18" s="339"/>
      <x:c r="U18" s="339"/>
      <x:c r="V18" s="339"/>
      <x:c r="W18" s="339"/>
      <x:c r="X18" s="339"/>
      <x:c r="Y18" s="339"/>
      <x:c r="Z18" s="339"/>
    </x:row>
    <x:row r="19" ht="28" customHeight="1">
      <x:c r="A19" s="803" t="str">
        <x:v>Metric</x:v>
      </x:c>
      <x:c r="B19" s="807" t="str">
        <x:v>Central result</x:v>
      </x:c>
      <x:c r="C19" s="803" t="str">
        <x:v>Treatment</x:v>
      </x:c>
      <x:c r="D19" s="339"/>
      <x:c r="E19" s="339"/>
      <x:c r="F19" s="339"/>
      <x:c r="G19" s="339"/>
      <x:c r="H19" s="803" t="str">
        <x:v>Measure</x:v>
      </x:c>
      <x:c r="I19" s="803" t="str">
        <x:v>Central result</x:v>
      </x:c>
      <x:c r="J19" s="803" t="str">
        <x:v>Interpretation</x:v>
      </x:c>
      <x:c r="K19" s="322"/>
      <x:c r="L19" s="322"/>
      <x:c r="M19" s="339"/>
      <x:c r="N19" s="339"/>
      <x:c r="O19" s="339"/>
      <x:c r="P19" s="339"/>
      <x:c r="Q19" s="339"/>
      <x:c r="R19" s="339"/>
      <x:c r="S19" s="339"/>
      <x:c r="T19" s="339"/>
      <x:c r="U19" s="339"/>
      <x:c r="V19" s="339"/>
      <x:c r="W19" s="339"/>
      <x:c r="X19" s="339"/>
      <x:c r="Y19" s="339"/>
      <x:c r="Z19" s="339"/>
    </x:row>
    <x:row r="20">
      <x:c r="A20" s="28" t="str">
        <x:v>Gross student-loan principal displaced</x:v>
      </x:c>
      <x:c r="B20" s="345" t="n">
        <x:f>'Cohort Bridge'!$D$27</x:f>
        <x:v>170706529.06716847</x:v>
      </x:c>
      <x:c r="C20" s="28" t="str">
        <x:v>Cash lending avoided; not a net saving.</x:v>
      </x:c>
      <x:c r="D20" s="339"/>
      <x:c r="E20" s="339"/>
      <x:c r="F20" s="339"/>
      <x:c r="G20" s="339"/>
      <x:c r="H20" s="322" t="str">
        <x:v>Evidence-based short-term social BCR</x:v>
      </x:c>
      <x:c r="I20" s="661" t="n">
        <x:f>'Benefits &amp; BCR'!$C$65</x:f>
        <x:v>0.025991563264118223</x:v>
      </x:c>
      <x:c r="J20" s="322" t="str">
        <x:v>Uses the New Zealand Pacheco–Dye short-term estimate.</x:v>
      </x:c>
      <x:c r="K20" s="322"/>
      <x:c r="L20" s="322"/>
      <x:c r="M20" s="339"/>
      <x:c r="N20" s="339"/>
      <x:c r="O20" s="339"/>
      <x:c r="P20" s="339"/>
      <x:c r="Q20" s="339"/>
      <x:c r="R20" s="339"/>
      <x:c r="S20" s="339"/>
      <x:c r="T20" s="339"/>
      <x:c r="U20" s="339"/>
      <x:c r="V20" s="339"/>
      <x:c r="W20" s="339"/>
      <x:c r="X20" s="339"/>
      <x:c r="Y20" s="339"/>
      <x:c r="Z20" s="339"/>
    </x:row>
    <x:row r="21">
      <x:c r="A21" s="28" t="str">
        <x:v>Modelled student-loan fair-value offset using the official cost rate</x:v>
      </x:c>
      <x:c r="B21" s="345" t="n">
        <x:f>'Cohort Bridge'!$D$28</x:f>
        <x:v>58449915.55259848</x:v>
      </x:c>
      <x:c r="C21" s="28" t="str">
        <x:v>The official cost rate is applied to modelled borrowing displacement; this is not an official government forecast.</x:v>
      </x:c>
      <x:c r="D21" s="339"/>
      <x:c r="E21" s="339"/>
      <x:c r="F21" s="339"/>
      <x:c r="G21" s="339"/>
      <x:c r="H21" s="322" t="str">
        <x:v>Illustrative lifetime social BCR</x:v>
      </x:c>
      <x:c r="I21" s="661" t="n">
        <x:f>'Benefits &amp; BCR'!$C$66</x:f>
        <x:v>0.24951900733553492</x:v>
      </x:c>
      <x:c r="J21" s="322" t="str">
        <x:v>Uses the low-confidence lifetime multiplier.</x:v>
      </x:c>
      <x:c r="K21" s="322"/>
      <x:c r="L21" s="322"/>
      <x:c r="M21" s="339"/>
      <x:c r="N21" s="339"/>
      <x:c r="O21" s="339"/>
      <x:c r="P21" s="339"/>
      <x:c r="Q21" s="339"/>
      <x:c r="R21" s="339"/>
      <x:c r="S21" s="339"/>
      <x:c r="T21" s="339"/>
      <x:c r="U21" s="339"/>
      <x:c r="V21" s="339"/>
      <x:c r="W21" s="339"/>
      <x:c r="X21" s="339"/>
      <x:c r="Y21" s="339"/>
      <x:c r="Z21" s="339"/>
    </x:row>
    <x:row r="22">
      <x:c r="A22" s="28" t="str">
        <x:v>Consequential account administration and induced-study costs</x:v>
      </x:c>
      <x:c r="B22" s="345" t="n">
        <x:f>'Cohort Bridge'!$D$29</x:f>
        <x:v>52622218.400000006</x:v>
      </x:c>
      <x:c r="C22" s="28" t="str">
        <x:v>Costs deducted from the modelled gross fair-value offset.</x:v>
      </x:c>
      <x:c r="D22" s="339"/>
      <x:c r="E22" s="339"/>
      <x:c r="F22" s="339"/>
      <x:c r="G22" s="339"/>
      <x:c r="H22" s="322" t="str">
        <x:v>Expanded social-investment sensitivity</x:v>
      </x:c>
      <x:c r="I22" s="661" t="n">
        <x:f>'Benefits &amp; BCR'!$C$67</x:f>
        <x:v>0.25333759922376436</x:v>
      </x:c>
      <x:c r="J22" s="322" t="str">
        <x:v>Adds net Learning Capital fiscal offset without double counting debt principal.</x:v>
      </x:c>
      <x:c r="K22" s="322"/>
      <x:c r="L22" s="322"/>
      <x:c r="M22" s="339"/>
      <x:c r="N22" s="339"/>
      <x:c r="O22" s="339"/>
      <x:c r="P22" s="339"/>
      <x:c r="Q22" s="339"/>
      <x:c r="R22" s="339"/>
      <x:c r="S22" s="339"/>
      <x:c r="T22" s="339"/>
      <x:c r="U22" s="339"/>
      <x:c r="V22" s="339"/>
      <x:c r="W22" s="339"/>
      <x:c r="X22" s="339"/>
      <x:c r="Y22" s="339"/>
      <x:c r="Z22" s="339"/>
    </x:row>
    <x:row r="23">
      <x:c r="A23" s="808" t="str">
        <x:v>Net Learning Capital Crown offset</x:v>
      </x:c>
      <x:c r="B23" s="1316" t="n">
        <x:f>'Cohort Bridge'!$D$30</x:f>
        <x:v>5827697.152598478</x:v>
      </x:c>
      <x:c r="C23" s="808" t="str">
        <x:v>Net scenario offset after consequential costs; not netted against programme-payment cash expenditure.</x:v>
      </x:c>
      <x:c r="D23" s="339"/>
      <x:c r="E23" s="339"/>
      <x:c r="F23" s="339"/>
      <x:c r="G23" s="339"/>
      <x:c r="H23" s="322" t="str">
        <x:v>Illustrative prison resource value — 1% sensitivity</x:v>
      </x:c>
      <x:c r="I23" s="662" t="n">
        <x:f>'Benefits &amp; BCR'!$C$68</x:f>
        <x:v>2964909.73725</x:v>
      </x:c>
      <x:c r="J23" s="322" t="str">
        <x:v>Not an evidence-based forecast or cashable saving.</x:v>
      </x:c>
      <x:c r="K23" s="322"/>
      <x:c r="L23" s="322"/>
      <x:c r="M23" s="339"/>
      <x:c r="N23" s="339"/>
      <x:c r="O23" s="339"/>
      <x:c r="P23" s="339"/>
      <x:c r="Q23" s="339"/>
      <x:c r="R23" s="339"/>
      <x:c r="S23" s="339"/>
      <x:c r="T23" s="339"/>
      <x:c r="U23" s="339"/>
      <x:c r="V23" s="339"/>
      <x:c r="W23" s="339"/>
      <x:c r="X23" s="339"/>
      <x:c r="Y23" s="339"/>
      <x:c r="Z23" s="339"/>
    </x:row>
    <x:row r="24">
      <x:c r="A24" s="808" t="str">
        <x:v>Potential annual cost-of-ownership reduction</x:v>
      </x:c>
      <x:c r="B24" s="1316" t="n">
        <x:f>'Stage 2 - National'!$I$53</x:f>
        <x:v>6388705.753520326</x:v>
      </x:c>
      <x:c r="C24" s="808" t="str">
        <x:v>Alternative non-additive carrying-cost view.</x:v>
      </x:c>
      <x:c r="D24" s="339"/>
      <x:c r="E24" s="339"/>
      <x:c r="F24" s="339"/>
      <x:c r="G24" s="339"/>
      <x:c r="H24" s="322" t="str">
        <x:v>Expanded sensitivity incl. 1% justice</x:v>
      </x:c>
      <x:c r="I24" s="661" t="n">
        <x:f>'Benefits &amp; BCR'!$C$69</x:f>
        <x:v>0.2552803529351419</x:v>
      </x:c>
      <x:c r="J24" s="322" t="str">
        <x:v>Justice remains outside the headline case.</x:v>
      </x:c>
      <x:c r="K24" s="322"/>
      <x:c r="L24" s="322"/>
      <x:c r="M24" s="339"/>
      <x:c r="N24" s="339"/>
      <x:c r="O24" s="339"/>
      <x:c r="P24" s="339"/>
      <x:c r="Q24" s="339"/>
      <x:c r="R24" s="339"/>
      <x:c r="S24" s="339"/>
      <x:c r="T24" s="339"/>
      <x:c r="U24" s="339"/>
      <x:c r="V24" s="339"/>
      <x:c r="W24" s="339"/>
      <x:c r="X24" s="339"/>
      <x:c r="Y24" s="339"/>
      <x:c r="Z24" s="339"/>
    </x:row>
    <x:row r="25">
      <x:c r="A25" s="28" t="str">
        <x:v>Inflation erosion avoided</x:v>
      </x:c>
      <x:c r="B25" s="345" t="n">
        <x:f>'Stage 2 - National'!$J$53</x:f>
        <x:v>14604798.627564864</x:v>
      </x:c>
      <x:c r="C25" s="28" t="str">
        <x:v>Alternative non-additive purchasing-power view.</x:v>
      </x:c>
      <x:c r="D25" s="339"/>
      <x:c r="E25" s="339"/>
      <x:c r="F25" s="339"/>
      <x:c r="G25" s="339"/>
      <x:c r="H25" s="339"/>
      <x:c r="I25" s="339"/>
      <x:c r="J25" s="339"/>
      <x:c r="K25" s="339"/>
      <x:c r="L25" s="339"/>
      <x:c r="M25" s="339"/>
      <x:c r="N25" s="339"/>
      <x:c r="O25" s="339"/>
      <x:c r="P25" s="339"/>
      <x:c r="Q25" s="339"/>
      <x:c r="R25" s="339"/>
      <x:c r="S25" s="339"/>
      <x:c r="T25" s="339"/>
      <x:c r="U25" s="339"/>
      <x:c r="V25" s="339"/>
      <x:c r="W25" s="339"/>
      <x:c r="X25" s="339"/>
      <x:c r="Y25" s="339"/>
      <x:c r="Z25" s="339"/>
    </x:row>
    <x:row r="26">
      <x:c r="A26" s="339" t="str">
        <x:v>Net Crown offset as % of mature annual programme cost</x:v>
      </x:c>
      <x:c r="B26" s="1317" t="n">
        <x:f>B23/'Stage 2 - National'!$K$48</x:f>
        <x:v>0.003818591888229415</x:v>
      </x:c>
      <x:c r="C26" s="339" t="str">
        <x:v>Affordability effect.</x:v>
      </x:c>
      <x:c r="D26" s="339"/>
      <x:c r="E26" s="339"/>
      <x:c r="F26" s="339"/>
      <x:c r="G26" s="339"/>
      <x:c r="H26" s="339"/>
      <x:c r="I26" s="339"/>
      <x:c r="J26" s="339"/>
      <x:c r="K26" s="339"/>
      <x:c r="L26" s="339"/>
      <x:c r="M26" s="339"/>
      <x:c r="N26" s="339"/>
      <x:c r="O26" s="339"/>
      <x:c r="P26" s="339"/>
      <x:c r="Q26" s="339"/>
      <x:c r="R26" s="339"/>
      <x:c r="S26" s="339"/>
      <x:c r="T26" s="339"/>
      <x:c r="U26" s="339"/>
      <x:c r="V26" s="339"/>
      <x:c r="W26" s="339"/>
      <x:c r="X26" s="339"/>
      <x:c r="Y26" s="339"/>
      <x:c r="Z26" s="339"/>
    </x:row>
    <x:row r="27" ht="21" customHeight="1">
      <x:c r="A27" s="342"/>
      <x:c r="B27" s="342"/>
      <x:c r="C27" s="342"/>
      <x:c r="D27" s="342"/>
      <x:c r="E27" s="342"/>
      <x:c r="F27" s="342"/>
      <x:c r="G27" s="342"/>
      <x:c r="H27" s="342"/>
      <x:c r="I27" s="342"/>
      <x:c r="J27" s="342"/>
      <x:c r="K27" s="342"/>
      <x:c r="L27" s="342"/>
      <x:c r="M27" s="339"/>
      <x:c r="N27" s="339"/>
      <x:c r="O27" s="339"/>
      <x:c r="P27" s="339"/>
      <x:c r="Q27" s="339"/>
      <x:c r="R27" s="339"/>
      <x:c r="S27" s="339"/>
      <x:c r="T27" s="339"/>
      <x:c r="U27" s="339"/>
      <x:c r="V27" s="339"/>
      <x:c r="W27" s="339"/>
      <x:c r="X27" s="339"/>
      <x:c r="Y27" s="339"/>
      <x:c r="Z27" s="339"/>
    </x:row>
    <x:row r="28" ht="23" customHeight="1">
      <x:c r="A28" s="801" t="str">
        <x:v>Central conclusion</x:v>
      </x:c>
      <x:c r="B28" s="801" t="str">
        <x:v>Central conclusion</x:v>
      </x:c>
      <x:c r="C28" s="801" t="str">
        <x:v>Central conclusion</x:v>
      </x:c>
      <x:c r="D28" s="801" t="str">
        <x:v>Central conclusion</x:v>
      </x:c>
      <x:c r="E28" s="801" t="str">
        <x:v>Central conclusion</x:v>
      </x:c>
      <x:c r="F28" s="801" t="str">
        <x:v>Central conclusion</x:v>
      </x:c>
      <x:c r="G28" s="801" t="str">
        <x:v>Central conclusion</x:v>
      </x:c>
      <x:c r="H28" s="801" t="str">
        <x:v>Central conclusion</x:v>
      </x:c>
      <x:c r="I28" s="801" t="str">
        <x:v>Central conclusion</x:v>
      </x:c>
      <x:c r="J28" s="801" t="str">
        <x:v>Central conclusion</x:v>
      </x:c>
      <x:c r="K28" s="801" t="str">
        <x:v>Central conclusion</x:v>
      </x:c>
      <x:c r="L28" s="801" t="str">
        <x:v>Central conclusion</x:v>
      </x:c>
      <x:c r="M28" s="339"/>
      <x:c r="N28" s="339"/>
      <x:c r="O28" s="339"/>
      <x:c r="P28" s="339"/>
      <x:c r="Q28" s="339"/>
      <x:c r="R28" s="339"/>
      <x:c r="S28" s="339"/>
      <x:c r="T28" s="339"/>
      <x:c r="U28" s="339"/>
      <x:c r="V28" s="339"/>
      <x:c r="W28" s="339"/>
      <x:c r="X28" s="339"/>
      <x:c r="Y28" s="339"/>
      <x:c r="Z28" s="339"/>
    </x:row>
    <x:row r="29" ht="30" customHeight="1">
      <x:c r="A29" s="1000" t="str">
        <x:v>The financial case tests three distinct outcome families: whole-cohort capability and earnings gains; high-risk outcomes among young people not in employment, education or training (NEET), including sustained-NEET outcomes; and Learning Capital / student-loan offsets. The whole-cohort pathway is plausible but unproven. Public social and Crown present-value results lead with the 2% Treasury-aligned non-commercial social rate, while 4% remains an intermediate analytical sensitivity and 8% remains the high sensitivity. The affected-population earnings uplift is not assumed to apply uniformly across the cohort. The universal-core plus targeted-accelerator structure is a leading testable scenario, not a proven design. Stage 0 and the bounded pilot must establish causal effects, distribution, actual delivery costs, genuine loan displacement and labour-market safety before any national commitment.</x:v>
      </x:c>
      <x:c r="B29" s="1000"/>
      <x:c r="C29" s="1000"/>
      <x:c r="D29" s="1000"/>
      <x:c r="E29" s="1000"/>
      <x:c r="F29" s="1000"/>
      <x:c r="G29" s="1000"/>
      <x:c r="H29" s="1000"/>
      <x:c r="I29" s="1000"/>
      <x:c r="J29" s="1000"/>
      <x:c r="K29" s="1000"/>
      <x:c r="L29" s="1000"/>
      <x:c r="M29" s="339"/>
      <x:c r="N29" s="339"/>
      <x:c r="O29" s="339"/>
      <x:c r="P29" s="339"/>
      <x:c r="Q29" s="339"/>
      <x:c r="R29" s="339"/>
      <x:c r="S29" s="339"/>
      <x:c r="T29" s="339"/>
      <x:c r="U29" s="339"/>
      <x:c r="V29" s="339"/>
      <x:c r="W29" s="339"/>
      <x:c r="X29" s="339"/>
      <x:c r="Y29" s="339"/>
      <x:c r="Z29" s="339"/>
    </x:row>
    <x:row r="30" ht="30" customHeight="1">
      <x:c r="A30" s="1000"/>
      <x:c r="B30" s="1000"/>
      <x:c r="C30" s="1000"/>
      <x:c r="D30" s="1000"/>
      <x:c r="E30" s="1000"/>
      <x:c r="F30" s="1000"/>
      <x:c r="G30" s="1000"/>
      <x:c r="H30" s="1000"/>
      <x:c r="I30" s="1000"/>
      <x:c r="J30" s="1000"/>
      <x:c r="K30" s="1000"/>
      <x:c r="L30" s="1000"/>
      <x:c r="M30" s="339"/>
      <x:c r="N30" s="339"/>
      <x:c r="O30" s="339"/>
      <x:c r="P30" s="339"/>
      <x:c r="Q30" s="339"/>
      <x:c r="R30" s="339"/>
      <x:c r="S30" s="339"/>
      <x:c r="T30" s="339"/>
      <x:c r="U30" s="339"/>
      <x:c r="V30" s="339"/>
      <x:c r="W30" s="339"/>
      <x:c r="X30" s="339"/>
      <x:c r="Y30" s="339"/>
      <x:c r="Z30" s="339"/>
    </x:row>
    <x:row r="31" ht="30" customHeight="1">
      <x:c r="A31" s="1000"/>
      <x:c r="B31" s="1000"/>
      <x:c r="C31" s="1000"/>
      <x:c r="D31" s="1000"/>
      <x:c r="E31" s="1000"/>
      <x:c r="F31" s="1000"/>
      <x:c r="G31" s="1000"/>
      <x:c r="H31" s="1000"/>
      <x:c r="I31" s="1000"/>
      <x:c r="J31" s="1000"/>
      <x:c r="K31" s="1000"/>
      <x:c r="L31" s="1000"/>
      <x:c r="M31" s="339"/>
      <x:c r="N31" s="339"/>
      <x:c r="O31" s="339"/>
      <x:c r="P31" s="339"/>
      <x:c r="Q31" s="339"/>
      <x:c r="R31" s="339"/>
      <x:c r="S31" s="339"/>
      <x:c r="T31" s="339"/>
      <x:c r="U31" s="339"/>
      <x:c r="V31" s="339"/>
      <x:c r="W31" s="339"/>
      <x:c r="X31" s="339"/>
      <x:c r="Y31" s="339"/>
      <x:c r="Z31" s="339"/>
    </x:row>
    <x:row r="32" ht="34" customHeight="1">
      <x:c r="A32" s="1000"/>
      <x:c r="B32" s="1000"/>
      <x:c r="C32" s="1000"/>
      <x:c r="D32" s="1000"/>
      <x:c r="E32" s="1000"/>
      <x:c r="F32" s="1000"/>
      <x:c r="G32" s="1000"/>
      <x:c r="H32" s="1000"/>
      <x:c r="I32" s="1000"/>
      <x:c r="J32" s="1000"/>
      <x:c r="K32" s="1000"/>
      <x:c r="L32" s="1000"/>
      <x:c r="M32" s="339"/>
      <x:c r="N32" s="339"/>
      <x:c r="O32" s="339"/>
      <x:c r="P32" s="339"/>
      <x:c r="Q32" s="339"/>
      <x:c r="R32" s="339"/>
      <x:c r="S32" s="339"/>
      <x:c r="T32" s="339"/>
      <x:c r="U32" s="339"/>
      <x:c r="V32" s="339"/>
      <x:c r="W32" s="339"/>
      <x:c r="X32" s="339"/>
      <x:c r="Y32" s="339"/>
      <x:c r="Z32" s="339"/>
    </x:row>
    <x:row r="33">
      <x:c r="A33" s="1000"/>
      <x:c r="B33" s="1000"/>
      <x:c r="C33" s="1000"/>
      <x:c r="D33" s="1000"/>
      <x:c r="E33" s="1000"/>
      <x:c r="F33" s="1000"/>
      <x:c r="G33" s="1000"/>
      <x:c r="H33" s="1000"/>
      <x:c r="I33" s="1000"/>
      <x:c r="J33" s="1000"/>
      <x:c r="K33" s="1000"/>
      <x:c r="L33" s="1000"/>
      <x:c r="M33" s="339"/>
      <x:c r="N33" s="339"/>
      <x:c r="O33" s="339"/>
      <x:c r="P33" s="339"/>
      <x:c r="Q33" s="339"/>
      <x:c r="R33" s="339"/>
      <x:c r="S33" s="339"/>
      <x:c r="T33" s="339"/>
      <x:c r="U33" s="339"/>
      <x:c r="V33" s="339"/>
      <x:c r="W33" s="339"/>
      <x:c r="X33" s="339"/>
      <x:c r="Y33" s="339"/>
      <x:c r="Z33" s="339"/>
    </x:row>
    <x:row r="34">
      <x:c r="A34" s="1000"/>
      <x:c r="B34" s="1000"/>
      <x:c r="C34" s="1000"/>
      <x:c r="D34" s="1000"/>
      <x:c r="E34" s="1000"/>
      <x:c r="F34" s="1000"/>
      <x:c r="G34" s="1000"/>
      <x:c r="H34" s="1000"/>
      <x:c r="I34" s="1000"/>
      <x:c r="J34" s="1000"/>
      <x:c r="K34" s="1000"/>
      <x:c r="L34" s="1000"/>
      <x:c r="M34" s="339"/>
      <x:c r="N34" s="339"/>
      <x:c r="O34" s="339"/>
      <x:c r="P34" s="339"/>
      <x:c r="Q34" s="339"/>
      <x:c r="R34" s="339"/>
      <x:c r="S34" s="339"/>
      <x:c r="T34" s="339"/>
      <x:c r="U34" s="339"/>
      <x:c r="V34" s="339"/>
      <x:c r="W34" s="339"/>
      <x:c r="X34" s="339"/>
      <x:c r="Y34" s="339"/>
      <x:c r="Z34" s="339"/>
    </x:row>
    <x:row r="35" ht="28" customHeight="1">
      <x:c r="A35" s="672"/>
      <x:c r="B35" s="672"/>
      <x:c r="C35" s="672"/>
      <x:c r="D35" s="672"/>
      <x:c r="E35" s="672"/>
      <x:c r="F35" s="672"/>
      <x:c r="G35" s="666"/>
      <x:c r="H35" s="666"/>
      <x:c r="I35" s="666"/>
      <x:c r="J35" s="666"/>
      <x:c r="K35" s="666"/>
      <x:c r="L35" s="666"/>
      <x:c r="M35" s="339"/>
      <x:c r="N35" s="339"/>
      <x:c r="O35" s="339"/>
      <x:c r="P35" s="339"/>
      <x:c r="Q35" s="339"/>
      <x:c r="R35" s="339"/>
      <x:c r="S35" s="339"/>
      <x:c r="T35" s="339"/>
      <x:c r="U35" s="339"/>
      <x:c r="V35" s="339"/>
      <x:c r="W35" s="339"/>
      <x:c r="X35" s="339"/>
      <x:c r="Y35" s="339"/>
      <x:c r="Z35" s="339"/>
    </x:row>
    <x:row r="36">
      <x:c r="A36" s="339"/>
      <x:c r="B36" s="352"/>
      <x:c r="C36" s="352"/>
      <x:c r="D36" s="352"/>
      <x:c r="E36" s="352"/>
      <x:c r="F36" s="352"/>
      <x:c r="G36" s="339"/>
      <x:c r="H36" s="339"/>
      <x:c r="I36" s="339"/>
      <x:c r="J36" s="339"/>
      <x:c r="K36" s="339"/>
      <x:c r="L36" s="339"/>
      <x:c r="M36" s="339"/>
      <x:c r="N36" s="339"/>
      <x:c r="O36" s="339"/>
      <x:c r="P36" s="339"/>
      <x:c r="Q36" s="339"/>
      <x:c r="R36" s="339"/>
      <x:c r="S36" s="339"/>
      <x:c r="T36" s="339"/>
      <x:c r="U36" s="339"/>
      <x:c r="V36" s="339"/>
      <x:c r="W36" s="339"/>
      <x:c r="X36" s="339"/>
      <x:c r="Y36" s="339"/>
      <x:c r="Z36" s="339"/>
    </x:row>
    <x:row r="37" ht="23" customHeight="1">
      <x:c r="A37" s="818" t="str">
        <x:v>Interpretive controls</x:v>
      </x:c>
      <x:c r="B37" s="819" t="str">
        <x:v>Interpretive controls</x:v>
      </x:c>
      <x:c r="C37" s="818" t="str">
        <x:v>Interpretive controls</x:v>
      </x:c>
      <x:c r="D37" s="818" t="str">
        <x:v>Interpretive controls</x:v>
      </x:c>
      <x:c r="E37" s="818" t="str">
        <x:v>Interpretive controls</x:v>
      </x:c>
      <x:c r="F37" s="818" t="str">
        <x:v>Interpretive controls</x:v>
      </x:c>
      <x:c r="G37" s="818" t="str">
        <x:v>Interpretive controls</x:v>
      </x:c>
      <x:c r="H37" s="818" t="str">
        <x:v>Interpretive controls</x:v>
      </x:c>
      <x:c r="I37" s="818" t="str">
        <x:v>Interpretive controls</x:v>
      </x:c>
      <x:c r="J37" s="818" t="str">
        <x:v>Interpretive controls</x:v>
      </x:c>
      <x:c r="K37" s="818" t="str">
        <x:v>Interpretive controls</x:v>
      </x:c>
      <x:c r="L37" s="818" t="str">
        <x:v>Interpretive controls</x:v>
      </x:c>
      <x:c r="M37" s="339"/>
      <x:c r="N37" s="339"/>
      <x:c r="O37" s="339"/>
      <x:c r="P37" s="339"/>
      <x:c r="Q37" s="339"/>
      <x:c r="R37" s="339"/>
      <x:c r="S37" s="339"/>
      <x:c r="T37" s="339"/>
      <x:c r="U37" s="339"/>
      <x:c r="V37" s="339"/>
      <x:c r="W37" s="339"/>
      <x:c r="X37" s="339"/>
      <x:c r="Y37" s="339"/>
      <x:c r="Z37" s="339"/>
    </x:row>
    <x:row r="38" ht="25" customHeight="1">
      <x:c r="A38" s="824" t="str">
        <x:v>Cash appropriation</x:v>
      </x:c>
      <x:c r="B38" s="825"/>
      <x:c r="C38" s="92" t="str">
        <x:v>The full immediate-access payments and Learning Capital deposits are programme expenditure when paid.</x:v>
      </x:c>
      <x:c r="D38" s="92"/>
      <x:c r="E38" s="92"/>
      <x:c r="F38" s="92"/>
      <x:c r="G38" s="92"/>
      <x:c r="H38" s="92"/>
      <x:c r="I38" s="92"/>
      <x:c r="J38" s="92"/>
      <x:c r="K38" s="92"/>
      <x:c r="L38" s="92"/>
      <x:c r="M38" s="339"/>
      <x:c r="N38" s="339"/>
      <x:c r="O38" s="339"/>
      <x:c r="P38" s="339"/>
      <x:c r="Q38" s="339"/>
      <x:c r="R38" s="339"/>
      <x:c r="S38" s="339"/>
      <x:c r="T38" s="339"/>
      <x:c r="U38" s="339"/>
      <x:c r="V38" s="339"/>
      <x:c r="W38" s="339"/>
      <x:c r="X38" s="339"/>
      <x:c r="Y38" s="339"/>
      <x:c r="Z38" s="339"/>
    </x:row>
    <x:row r="39" ht="25" customHeight="1">
      <x:c r="A39" s="829" t="str">
        <x:v>Student asset value</x:v>
      </x:c>
      <x:c r="B39" s="830"/>
      <x:c r="C39" s="484" t="str">
        <x:v>The protected account balance is attributed to the participant subject to legal ownership and withdrawal rules.</x:v>
      </x:c>
      <x:c r="D39" s="484"/>
      <x:c r="E39" s="484"/>
      <x:c r="F39" s="484"/>
      <x:c r="G39" s="484"/>
      <x:c r="H39" s="484"/>
      <x:c r="I39" s="484"/>
      <x:c r="J39" s="484"/>
      <x:c r="K39" s="484"/>
      <x:c r="L39" s="484"/>
      <x:c r="M39" s="339"/>
      <x:c r="N39" s="339"/>
      <x:c r="O39" s="339"/>
      <x:c r="P39" s="339"/>
      <x:c r="Q39" s="339"/>
      <x:c r="R39" s="339"/>
      <x:c r="S39" s="339"/>
      <x:c r="T39" s="339"/>
      <x:c r="U39" s="339"/>
      <x:c r="V39" s="339"/>
      <x:c r="W39" s="339"/>
      <x:c r="X39" s="339"/>
      <x:c r="Y39" s="339"/>
      <x:c r="Z39" s="339"/>
    </x:row>
    <x:row r="40" ht="25" customHeight="1">
      <x:c r="A40" s="829" t="str">
        <x:v>Investment return</x:v>
      </x:c>
      <x:c r="B40" s="830"/>
      <x:c r="C40" s="484" t="str">
        <x:v>An uncertain market outcome after fees and tax; not guaranteed and not automatically free national value.</x:v>
      </x:c>
      <x:c r="D40" s="484"/>
      <x:c r="E40" s="484"/>
      <x:c r="F40" s="484"/>
      <x:c r="G40" s="484"/>
      <x:c r="H40" s="484"/>
      <x:c r="I40" s="484"/>
      <x:c r="J40" s="484"/>
      <x:c r="K40" s="484"/>
      <x:c r="L40" s="484"/>
      <x:c r="M40" s="339"/>
      <x:c r="N40" s="339"/>
      <x:c r="O40" s="339"/>
      <x:c r="P40" s="339"/>
      <x:c r="Q40" s="339"/>
      <x:c r="R40" s="339"/>
      <x:c r="S40" s="339"/>
      <x:c r="T40" s="339"/>
      <x:c r="U40" s="339"/>
      <x:c r="V40" s="339"/>
      <x:c r="W40" s="339"/>
      <x:c r="X40" s="339"/>
      <x:c r="Y40" s="339"/>
      <x:c r="Z40" s="339"/>
    </x:row>
    <x:row r="41" ht="25" customHeight="1">
      <x:c r="A41" s="829" t="str">
        <x:v>Student debt displaced</x:v>
      </x:c>
      <x:c r="B41" s="829"/>
      <x:c r="C41" s="484" t="str">
        <x:v>Expected borrowing replaced by the account; not an additional benefit on top of the same account balance.</x:v>
      </x:c>
      <x:c r="D41" s="484"/>
      <x:c r="E41" s="484"/>
      <x:c r="F41" s="484"/>
      <x:c r="G41" s="484"/>
      <x:c r="H41" s="484"/>
      <x:c r="I41" s="484"/>
      <x:c r="J41" s="484"/>
      <x:c r="K41" s="484"/>
      <x:c r="L41" s="484"/>
      <x:c r="M41" s="339"/>
      <x:c r="N41" s="339"/>
      <x:c r="O41" s="339"/>
      <x:c r="P41" s="339"/>
      <x:c r="Q41" s="339"/>
      <x:c r="R41" s="339"/>
      <x:c r="S41" s="339"/>
      <x:c r="T41" s="339"/>
      <x:c r="U41" s="339"/>
      <x:c r="V41" s="339"/>
      <x:c r="W41" s="339"/>
      <x:c r="X41" s="339"/>
      <x:c r="Y41" s="339"/>
      <x:c r="Z41" s="339"/>
    </x:row>
    <x:row r="42" ht="25" customHeight="1">
      <x:c r="A42" s="829" t="str">
        <x:v>Crown fiscal saving</x:v>
      </x:c>
      <x:c r="B42" s="829"/>
      <x:c r="C42" s="484" t="str">
        <x:v>The official fair-value cost avoided, less valid consequential costs; not the gross loan principal.</x:v>
      </x:c>
      <x:c r="D42" s="484"/>
      <x:c r="E42" s="484"/>
      <x:c r="F42" s="484"/>
      <x:c r="G42" s="484"/>
      <x:c r="H42" s="484"/>
      <x:c r="I42" s="484"/>
      <x:c r="J42" s="484"/>
      <x:c r="K42" s="484"/>
      <x:c r="L42" s="484"/>
      <x:c r="M42" s="339"/>
      <x:c r="N42" s="339"/>
      <x:c r="O42" s="339"/>
      <x:c r="P42" s="339"/>
      <x:c r="Q42" s="339"/>
      <x:c r="R42" s="339"/>
      <x:c r="S42" s="339"/>
      <x:c r="T42" s="339"/>
      <x:c r="U42" s="339"/>
      <x:c r="V42" s="339"/>
      <x:c r="W42" s="339"/>
      <x:c r="X42" s="339"/>
      <x:c r="Y42" s="339"/>
      <x:c r="Z42" s="339"/>
    </x:row>
    <x:row r="43" ht="25" customHeight="1">
      <x:c r="A43" s="829" t="str">
        <x:v>Inflation and cost of capital</x:v>
      </x:c>
      <x:c r="B43" s="829"/>
      <x:c r="C43" s="484" t="str">
        <x:v>Alternative explanatory views that overlap the official fair-value measure and are not summed.</x:v>
      </x:c>
      <x:c r="D43" s="484"/>
      <x:c r="E43" s="484"/>
      <x:c r="F43" s="484"/>
      <x:c r="G43" s="484"/>
      <x:c r="H43" s="484"/>
      <x:c r="I43" s="484"/>
      <x:c r="J43" s="484"/>
      <x:c r="K43" s="484"/>
      <x:c r="L43" s="484"/>
      <x:c r="M43" s="339"/>
      <x:c r="N43" s="339"/>
      <x:c r="O43" s="339"/>
      <x:c r="P43" s="339"/>
      <x:c r="Q43" s="339"/>
      <x:c r="R43" s="339"/>
      <x:c r="S43" s="339"/>
      <x:c r="T43" s="339"/>
      <x:c r="U43" s="339"/>
      <x:c r="V43" s="339"/>
      <x:c r="W43" s="339"/>
      <x:c r="X43" s="339"/>
      <x:c r="Y43" s="339"/>
      <x:c r="Z43" s="339"/>
    </x:row>
    <x:row r="44" ht="25" customHeight="1">
      <x:c r="A44" s="829" t="str">
        <x:v>Justice</x:v>
      </x:c>
      <x:c r="B44" s="829"/>
      <x:c r="C44" s="484" t="str">
        <x:v>Zero in the evidence case; 0.5%, 1% and 2% resource-value sensitivities are shown separately.</x:v>
      </x:c>
      <x:c r="D44" s="484"/>
      <x:c r="E44" s="484"/>
      <x:c r="F44" s="484"/>
      <x:c r="G44" s="484"/>
      <x:c r="H44" s="484"/>
      <x:c r="I44" s="484"/>
      <x:c r="J44" s="484"/>
      <x:c r="K44" s="484"/>
      <x:c r="L44" s="484"/>
      <x:c r="M44" s="339"/>
      <x:c r="N44" s="339"/>
      <x:c r="O44" s="339"/>
      <x:c r="P44" s="339"/>
      <x:c r="Q44" s="339"/>
      <x:c r="R44" s="339"/>
      <x:c r="S44" s="339"/>
      <x:c r="T44" s="339"/>
      <x:c r="U44" s="339"/>
      <x:c r="V44" s="339"/>
      <x:c r="W44" s="339"/>
      <x:c r="X44" s="339"/>
      <x:c r="Y44" s="339"/>
      <x:c r="Z44" s="339"/>
    </x:row>
    <x:row r="45" ht="26" customHeight="1">
      <x:c r="A45" s="498"/>
      <x:c r="B45" s="28"/>
      <x:c r="C45" s="28"/>
      <x:c r="D45" s="28"/>
      <x:c r="E45" s="28"/>
      <x:c r="F45" s="28"/>
      <x:c r="G45" s="28"/>
      <x:c r="H45" s="28"/>
      <x:c r="I45" s="28"/>
      <x:c r="J45" s="28"/>
      <x:c r="K45" s="28"/>
      <x:c r="L45" s="28"/>
      <x:c r="M45" s="339"/>
      <x:c r="N45" s="339"/>
      <x:c r="O45" s="339"/>
      <x:c r="P45" s="339"/>
      <x:c r="Q45" s="339"/>
      <x:c r="R45" s="339"/>
      <x:c r="S45" s="339"/>
      <x:c r="T45" s="339"/>
      <x:c r="U45" s="339"/>
      <x:c r="V45" s="339"/>
      <x:c r="W45" s="339"/>
      <x:c r="X45" s="339"/>
      <x:c r="Y45" s="339"/>
      <x:c r="Z45" s="339"/>
    </x:row>
    <x:row r="46">
      <x:c r="A46" s="339"/>
      <x:c r="B46" s="339"/>
      <x:c r="C46" s="339"/>
      <x:c r="D46" s="339"/>
      <x:c r="E46" s="339"/>
      <x:c r="F46" s="339"/>
      <x:c r="G46" s="339"/>
      <x:c r="H46" s="339"/>
      <x:c r="I46" s="339"/>
      <x:c r="J46" s="339"/>
      <x:c r="K46" s="339"/>
      <x:c r="L46" s="339"/>
      <x:c r="M46" s="339"/>
      <x:c r="N46" s="339"/>
      <x:c r="O46" s="339"/>
      <x:c r="P46" s="339"/>
      <x:c r="Q46" s="339"/>
      <x:c r="R46" s="339"/>
      <x:c r="S46" s="339"/>
      <x:c r="T46" s="339"/>
      <x:c r="U46" s="339"/>
      <x:c r="V46" s="339"/>
      <x:c r="W46" s="339"/>
      <x:c r="X46" s="339"/>
      <x:c r="Y46" s="339"/>
      <x:c r="Z46" s="339"/>
    </x:row>
    <x:row r="47" ht="28" customHeight="1">
      <x:c r="A47" s="836" t="str">
        <x:v>Annual-cost and lifetime-benefit comparison for one aligned annual cohort</x:v>
      </x:c>
      <x:c r="B47" s="836" t="str">
        <x:v>Value</x:v>
      </x:c>
      <x:c r="C47" s="339"/>
      <x:c r="D47" s="339"/>
      <x:c r="E47" s="339"/>
      <x:c r="F47" s="339"/>
      <x:c r="G47" s="339"/>
      <x:c r="H47" s="339"/>
      <x:c r="I47" s="339"/>
      <x:c r="J47" s="339"/>
      <x:c r="K47" s="339"/>
      <x:c r="L47" s="339"/>
      <x:c r="M47" s="339"/>
      <x:c r="N47" s="339"/>
      <x:c r="O47" s="339"/>
      <x:c r="P47" s="339"/>
      <x:c r="Q47" s="339"/>
      <x:c r="R47" s="339"/>
      <x:c r="S47" s="339"/>
      <x:c r="T47" s="339"/>
      <x:c r="U47" s="339"/>
      <x:c r="V47" s="339"/>
      <x:c r="W47" s="339"/>
      <x:c r="X47" s="339"/>
      <x:c r="Y47" s="339"/>
      <x:c r="Z47" s="339"/>
    </x:row>
    <x:row r="48" ht="28" customHeight="1">
      <x:c r="A48" s="683" t="str">
        <x:v>Mature annual programme cost associated with one annual entrant/exit cohort</x:v>
      </x:c>
      <x:c r="B48" s="838" t="n">
        <x:f>'Stage 2 - National'!$K$48</x:f>
        <x:v>1526137729.0833335</x:v>
      </x:c>
      <x:c r="C48" s="339"/>
      <x:c r="D48" s="339"/>
      <x:c r="E48" s="339"/>
      <x:c r="F48" s="339"/>
      <x:c r="G48" s="339"/>
      <x:c r="H48" s="339"/>
      <x:c r="I48" s="339"/>
      <x:c r="J48" s="339"/>
      <x:c r="K48" s="339"/>
      <x:c r="L48" s="339"/>
      <x:c r="M48" s="339"/>
      <x:c r="N48" s="339"/>
      <x:c r="O48" s="339"/>
      <x:c r="P48" s="339"/>
      <x:c r="Q48" s="339"/>
      <x:c r="R48" s="339"/>
      <x:c r="S48" s="339"/>
      <x:c r="T48" s="339"/>
      <x:c r="U48" s="339"/>
      <x:c r="V48" s="339"/>
      <x:c r="W48" s="339"/>
      <x:c r="X48" s="339"/>
      <x:c r="Y48" s="339"/>
      <x:c r="Z48" s="339"/>
    </x:row>
    <x:row r="49">
      <x:c r="A49" s="339" t="str">
        <x:v>Present value of illustrative lifetime sustained-NEET benefit attributable to that cohort</x:v>
      </x:c>
      <x:c r="B49" s="352" t="n">
        <x:f>'Benefits &amp; BCR'!$C$24</x:f>
        <x:v>380800371.2181809</x:v>
      </x:c>
      <x:c r="C49" s="339"/>
      <x:c r="D49" s="339"/>
      <x:c r="E49" s="339"/>
      <x:c r="F49" s="339"/>
      <x:c r="G49" s="339"/>
      <x:c r="H49" s="339"/>
      <x:c r="I49" s="339"/>
      <x:c r="J49" s="339"/>
      <x:c r="K49" s="339"/>
      <x:c r="L49" s="339"/>
      <x:c r="M49" s="339"/>
      <x:c r="N49" s="339"/>
      <x:c r="O49" s="339"/>
      <x:c r="P49" s="339"/>
      <x:c r="Q49" s="339"/>
      <x:c r="R49" s="339"/>
      <x:c r="S49" s="339"/>
      <x:c r="T49" s="339"/>
      <x:c r="U49" s="339"/>
      <x:c r="V49" s="339"/>
      <x:c r="W49" s="339"/>
      <x:c r="X49" s="339"/>
      <x:c r="Y49" s="339"/>
      <x:c r="Z49" s="339"/>
    </x:row>
    <x:row r="50">
      <x:c r="A50" s="339" t="str">
        <x:v>Present value of net Learning Capital Crown offset attributable to that cohort</x:v>
      </x:c>
      <x:c r="B50" s="352" t="n">
        <x:f>'Cohort Bridge'!$D$30</x:f>
        <x:v>5827697.152598478</x:v>
      </x:c>
      <x:c r="C50" s="339"/>
      <x:c r="D50" s="339"/>
      <x:c r="E50" s="339"/>
      <x:c r="F50" s="339"/>
      <x:c r="G50" s="339"/>
      <x:c r="H50" s="339"/>
      <x:c r="I50" s="339"/>
      <x:c r="J50" s="339"/>
      <x:c r="K50" s="339"/>
      <x:c r="L50" s="339"/>
      <x:c r="M50" s="339"/>
      <x:c r="N50" s="339"/>
      <x:c r="O50" s="339"/>
      <x:c r="P50" s="339"/>
      <x:c r="Q50" s="339"/>
      <x:c r="R50" s="339"/>
      <x:c r="S50" s="339"/>
      <x:c r="T50" s="339"/>
      <x:c r="U50" s="339"/>
      <x:c r="V50" s="339"/>
      <x:c r="W50" s="339"/>
      <x:c r="X50" s="339"/>
      <x:c r="Y50" s="339"/>
      <x:c r="Z50" s="339"/>
    </x:row>
    <x:row r="51">
      <x:c r="A51" s="339" t="str">
        <x:v>Present value of 1% justice resource sensitivity attributable to that cohort</x:v>
      </x:c>
      <x:c r="B51" s="352" t="n">
        <x:f>'Justice Sensitivity'!$G$7</x:f>
        <x:v>2964909.73725</x:v>
      </x:c>
      <x:c r="C51" s="339"/>
      <x:c r="D51" s="339"/>
      <x:c r="E51" s="339"/>
      <x:c r="F51" s="339"/>
      <x:c r="G51" s="339"/>
      <x:c r="H51" s="339"/>
      <x:c r="I51" s="339"/>
      <x:c r="J51" s="339"/>
      <x:c r="K51" s="339"/>
      <x:c r="L51" s="339"/>
      <x:c r="M51" s="339"/>
      <x:c r="N51" s="339"/>
      <x:c r="O51" s="339"/>
      <x:c r="P51" s="339"/>
      <x:c r="Q51" s="339"/>
      <x:c r="R51" s="339"/>
      <x:c r="S51" s="339"/>
      <x:c r="T51" s="339"/>
      <x:c r="U51" s="339"/>
      <x:c r="V51" s="339"/>
      <x:c r="W51" s="339"/>
      <x:c r="X51" s="339"/>
      <x:c r="Y51" s="339"/>
      <x:c r="Z51" s="339"/>
    </x:row>
    <x:row r="52">
      <x:c r="A52" s="339" t="str">
        <x:v>Unclosed gap between mature annual cost and the listed lifetime-value components</x:v>
      </x:c>
      <x:c r="B52" s="352" t="n">
        <x:f>MAX(0,B48-B49-B50-B51)</x:f>
        <x:v>1136544750.9753041</x:v>
      </x:c>
      <x:c r="C52" s="339"/>
      <x:c r="D52" s="339"/>
      <x:c r="E52" s="339"/>
      <x:c r="F52" s="339"/>
      <x:c r="G52" s="339"/>
      <x:c r="H52" s="339"/>
      <x:c r="I52" s="339"/>
      <x:c r="J52" s="339"/>
      <x:c r="K52" s="339"/>
      <x:c r="L52" s="339"/>
      <x:c r="M52" s="339"/>
      <x:c r="N52" s="339"/>
      <x:c r="O52" s="339"/>
      <x:c r="P52" s="339"/>
      <x:c r="Q52" s="339"/>
      <x:c r="R52" s="339"/>
      <x:c r="S52" s="339"/>
      <x:c r="T52" s="339"/>
      <x:c r="U52" s="339"/>
      <x:c r="V52" s="339"/>
      <x:c r="W52" s="339"/>
      <x:c r="X52" s="339"/>
      <x:c r="Y52" s="339"/>
      <x:c r="Z52" s="339"/>
    </x:row>
    <x:row r="53">
      <x:c r="A53" s="339"/>
      <x:c r="B53" s="352"/>
      <x:c r="C53" s="339"/>
      <x:c r="D53" s="339"/>
      <x:c r="E53" s="339"/>
      <x:c r="F53" s="339"/>
      <x:c r="G53" s="339"/>
      <x:c r="H53" s="339"/>
      <x:c r="I53" s="339"/>
      <x:c r="J53" s="339"/>
      <x:c r="K53" s="339"/>
      <x:c r="L53" s="339"/>
      <x:c r="M53" s="339"/>
      <x:c r="N53" s="339"/>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339"/>
      <x:c r="V56" s="339"/>
      <x:c r="W56" s="339"/>
      <x:c r="X56" s="339"/>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339"/>
      <x:c r="V57" s="339"/>
      <x:c r="W57" s="339"/>
      <x:c r="X57" s="339"/>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339"/>
      <x:c r="V58" s="339"/>
      <x:c r="W58" s="339"/>
      <x:c r="X58" s="339"/>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339"/>
      <x:c r="V59" s="339"/>
      <x:c r="W59" s="339"/>
      <x:c r="X59" s="339"/>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339"/>
      <x:c r="V60" s="339"/>
      <x:c r="W60" s="339"/>
      <x:c r="X60" s="339"/>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339"/>
      <x:c r="V61" s="339"/>
      <x:c r="W61" s="339"/>
      <x:c r="X61" s="339"/>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339"/>
      <x:c r="V62" s="339"/>
      <x:c r="W62" s="339"/>
      <x:c r="X62" s="339"/>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339"/>
      <x:c r="V63" s="339"/>
      <x:c r="W63" s="339"/>
      <x:c r="X63" s="339"/>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ht="23" customHeight="1">
      <x:c r="A66" s="905" t="str">
        <x:v>Whole-cohort earnings and targeted-delivery results</x:v>
      </x:c>
      <x:c r="B66" s="905"/>
      <x:c r="C66" s="905"/>
      <x:c r="D66" s="905"/>
      <x:c r="E66" s="905"/>
      <x:c r="F66" s="905"/>
      <x:c r="G66" s="905"/>
      <x:c r="H66" s="905"/>
      <x:c r="I66" s="905"/>
      <x:c r="J66" s="905"/>
      <x:c r="K66" s="905"/>
      <x:c r="L66" s="905"/>
      <x:c r="M66" s="339"/>
      <x:c r="N66" s="339"/>
      <x:c r="O66" s="339"/>
      <x:c r="P66" s="339"/>
      <x:c r="Q66" s="339"/>
      <x:c r="R66" s="339"/>
      <x:c r="S66" s="339"/>
      <x:c r="T66" s="339"/>
      <x:c r="U66" s="339"/>
      <x:c r="V66" s="339"/>
      <x:c r="W66" s="339"/>
      <x:c r="X66" s="339"/>
      <x:c r="Y66" s="339"/>
      <x:c r="Z66" s="339"/>
    </x:row>
    <x:row r="67" ht="30" customHeight="1">
      <x:c r="A67" s="909" t="str">
        <x:v>Metric</x:v>
      </x:c>
      <x:c r="B67" s="909" t="str">
        <x:v>2% discount</x:v>
      </x:c>
      <x:c r="C67" s="909" t="str">
        <x:v>4% discount</x:v>
      </x:c>
      <x:c r="D67" s="909" t="str">
        <x:v>8% discount</x:v>
      </x:c>
      <x:c r="E67" s="909" t="str">
        <x:v>Unit</x:v>
      </x:c>
      <x:c r="F67" s="909" t="str">
        <x:v>Interpretation</x:v>
      </x:c>
      <x:c r="G67" s="339"/>
      <x:c r="H67" s="909" t="str">
        <x:v>Delivery scenario</x:v>
      </x:c>
      <x:c r="I67" s="909" t="str">
        <x:v>Central cost</x:v>
      </x:c>
      <x:c r="J67" s="909" t="str">
        <x:v>Social break-even @4%</x:v>
      </x:c>
      <x:c r="K67" s="909" t="str">
        <x:v>Crown break-even @4%</x:v>
      </x:c>
      <x:c r="L67" s="909" t="str">
        <x:v>Decision status</x:v>
      </x:c>
      <x:c r="M67" s="339"/>
      <x:c r="N67" s="339"/>
      <x:c r="O67" s="339"/>
      <x:c r="P67" s="339"/>
      <x:c r="Q67" s="339"/>
      <x:c r="R67" s="339"/>
      <x:c r="S67" s="339"/>
      <x:c r="T67" s="339"/>
      <x:c r="U67" s="339"/>
      <x:c r="V67" s="339"/>
      <x:c r="W67" s="339"/>
      <x:c r="X67" s="339"/>
      <x:c r="Y67" s="339"/>
      <x:c r="Z67" s="339"/>
    </x:row>
    <x:row r="68">
      <x:c r="A68" s="28" t="str">
        <x:v>Mature national social break-even earnings uplift</x:v>
      </x:c>
      <x:c r="B68" s="997" t="n">
        <x:f>'Human Capital &amp; Earnings'!$J$116</x:f>
        <x:v>0.058127484370145754</x:v>
      </x:c>
      <x:c r="C68" s="997" t="n">
        <x:f>'Human Capital &amp; Earnings'!$J$117</x:f>
        <x:v>0.0851002355478312</x:v>
      </x:c>
      <x:c r="D68" s="997" t="n">
        <x:f>'Human Capital &amp; Earnings'!$J$118</x:f>
        <x:v>0.15455998337625385</x:v>
      </x:c>
      <x:c r="E68" s="28" t="str">
        <x:v>%</x:v>
      </x:c>
      <x:c r="F68" s="28" t="str">
        <x:v>Affected-population uplift; see cohort-equivalent measures separately.</x:v>
      </x:c>
      <x:c r="G68" s="339"/>
      <x:c r="H68" s="28" t="str">
        <x:v>Universal core only</x:v>
      </x:c>
      <x:c r="I68" s="344" t="n">
        <x:f>'Delivery Scenarios'!$G$20</x:f>
        <x:v>825136870.3583333</x:v>
      </x:c>
      <x:c r="J68" s="997" t="n">
        <x:f>'Human Capital &amp; Earnings'!$J$108</x:f>
        <x:v>0.05183174490521204</x:v>
      </x:c>
      <x:c r="K68" s="997" t="n">
        <x:f>'Human Capital &amp; Earnings'!$K$108</x:f>
        <x:v>0.19013128458612533</x:v>
      </x:c>
      <x:c r="L68" s="994" t="str">
        <x:v>CONDITIONAL / NOT TESTED</x:v>
      </x:c>
      <x:c r="M68" s="339"/>
      <x:c r="N68" s="339"/>
      <x:c r="O68" s="339"/>
      <x:c r="P68" s="339"/>
      <x:c r="Q68" s="339"/>
      <x:c r="R68" s="339"/>
      <x:c r="S68" s="339"/>
      <x:c r="T68" s="339"/>
      <x:c r="U68" s="339"/>
      <x:c r="V68" s="339"/>
      <x:c r="W68" s="339"/>
      <x:c r="X68" s="339"/>
      <x:c r="Y68" s="339"/>
      <x:c r="Z68" s="339"/>
    </x:row>
    <x:row r="69">
      <x:c r="A69" s="28" t="str">
        <x:v>Mature national Crown fiscal break-even earnings uplift</x:v>
      </x:c>
      <x:c r="B69" s="997" t="n">
        <x:f>'Human Capital &amp; Earnings'!$K$116</x:f>
        <x:v>0.21211870542530076</x:v>
      </x:c>
      <x:c r="C69" s="997" t="n">
        <x:f>'Human Capital &amp; Earnings'!$K$117</x:f>
        <x:v>0.3174347047868822</x:v>
      </x:c>
      <x:c r="D69" s="997" t="n">
        <x:f>'Human Capital &amp; Earnings'!$K$118</x:f>
        <x:v>0.6052354480592517</x:v>
      </x:c>
      <x:c r="E69" s="28" t="str">
        <x:v>%</x:v>
      </x:c>
      <x:c r="F69" s="28" t="str">
        <x:v>Tax, ACC, benefit and loan offsets only.</x:v>
      </x:c>
      <x:c r="G69" s="339"/>
      <x:c r="H69" s="28" t="str">
        <x:v>Universal core plus targeted accelerator</x:v>
      </x:c>
      <x:c r="I69" s="344" t="n">
        <x:f>'Delivery Scenarios'!$G$21</x:f>
        <x:v>875015750.3583333</x:v>
      </x:c>
      <x:c r="J69" s="997" t="n">
        <x:f>'Human Capital &amp; Earnings'!$J$111</x:f>
        <x:v>0.033256642039771675</x:v>
      </x:c>
      <x:c r="K69" s="997" t="n">
        <x:f>'Human Capital &amp; Earnings'!$K$111</x:f>
        <x:v>0.15033958524714106</x:v>
      </x:c>
      <x:c r="L69" s="994" t="str">
        <x:v>CONDITIONAL / NOT TESTED</x:v>
      </x:c>
      <x:c r="M69" s="339"/>
      <x:c r="N69" s="339"/>
      <x:c r="O69" s="339"/>
      <x:c r="P69" s="339"/>
      <x:c r="Q69" s="339"/>
      <x:c r="R69" s="339"/>
      <x:c r="S69" s="339"/>
      <x:c r="T69" s="339"/>
      <x:c r="U69" s="339"/>
      <x:c r="V69" s="339"/>
      <x:c r="W69" s="339"/>
      <x:c r="X69" s="339"/>
      <x:c r="Y69" s="339"/>
      <x:c r="Z69" s="339"/>
    </x:row>
    <x:row r="70">
      <x:c r="A70" s="28" t="str">
        <x:v>Core + accelerator social break-even earnings uplift</x:v>
      </x:c>
      <x:c r="B70" s="997" t="n">
        <x:f>'Human Capital &amp; Earnings'!$J$110</x:f>
        <x:v>0.022715858868379204</x:v>
      </x:c>
      <x:c r="C70" s="997" t="n">
        <x:f>'Human Capital &amp; Earnings'!$J$111</x:f>
        <x:v>0.033256642039771675</x:v>
      </x:c>
      <x:c r="D70" s="997" t="n">
        <x:f>'Human Capital &amp; Earnings'!$J$112</x:f>
        <x:v>0.06040107888923621</x:v>
      </x:c>
      <x:c r="E70" s="28" t="str">
        <x:v>%</x:v>
      </x:c>
      <x:c r="F70" s="28" t="str">
        <x:v>Leading testable structural scenario; retained high-risk effect is unproven.</x:v>
      </x:c>
      <x:c r="G70" s="339"/>
      <x:c r="H70" s="28" t="str">
        <x:v>Targeted pilot</x:v>
      </x:c>
      <x:c r="I70" s="344" t="n">
        <x:f>'Delivery Scenarios'!$G$22</x:f>
        <x:v>97579970.263125</x:v>
      </x:c>
      <x:c r="J70" s="997" t="n">
        <x:f>'Human Capital &amp; Earnings'!$J$114</x:f>
        <x:v>0.05168572155475939</x:v>
      </x:c>
      <x:c r="K70" s="997" t="n">
        <x:f>'Human Capital &amp; Earnings'!$K$114</x:f>
        <x:v>0.23373864282414236</x:v>
      </x:c>
      <x:c r="L70" s="994" t="str">
        <x:v>CONDITIONAL / NOT TESTED</x:v>
      </x:c>
      <x:c r="M70" s="339"/>
      <x:c r="N70" s="339"/>
      <x:c r="O70" s="339"/>
      <x:c r="P70" s="339"/>
      <x:c r="Q70" s="339"/>
      <x:c r="R70" s="339"/>
      <x:c r="S70" s="339"/>
      <x:c r="T70" s="339"/>
      <x:c r="U70" s="339"/>
      <x:c r="V70" s="339"/>
      <x:c r="W70" s="339"/>
      <x:c r="X70" s="339"/>
      <x:c r="Y70" s="339"/>
      <x:c r="Z70" s="339"/>
    </x:row>
    <x:row r="71">
      <x:c r="A71" s="28" t="str">
        <x:v>Mature national social BCR at 1% uplift</x:v>
      </x:c>
      <x:c r="B71" s="478" t="n">
        <x:f>'Human Capital &amp; Earnings'!$J$99</x:f>
        <x:v>0.3817901563689555</x:v>
      </x:c>
      <x:c r="C71" s="478" t="n">
        <x:f>'Human Capital &amp; Earnings'!$K$99</x:f>
        <x:v>0.3410767689181383</x:v>
      </x:c>
      <x:c r="D71" s="478" t="n">
        <x:f>'Human Capital &amp; Earnings'!$L$99</x:f>
        <x:v>0.3016465071613768</x:v>
      </x:c>
      <x:c r="E71" s="28" t="str">
        <x:v>x</x:v>
      </x:c>
      <x:c r="F71" s="28" t="str">
        <x:v>Whole-cohort earnings added without NEET overlap.</x:v>
      </x:c>
      <x:c r="G71" s="339"/>
      <x:c r="H71" s="28" t="str">
        <x:v>Mature national design</x:v>
      </x:c>
      <x:c r="I71" s="344" t="n">
        <x:f>'Delivery Scenarios'!$G$23</x:f>
        <x:v>1526137729.0833335</x:v>
      </x:c>
      <x:c r="J71" s="997" t="n">
        <x:f>'Human Capital &amp; Earnings'!$J$117</x:f>
        <x:v>0.0851002355478312</x:v>
      </x:c>
      <x:c r="K71" s="997" t="n">
        <x:f>'Human Capital &amp; Earnings'!$K$117</x:f>
        <x:v>0.3174347047868822</x:v>
      </x:c>
      <x:c r="L71" s="994" t="str">
        <x:v>CONDITIONAL / NOT TESTED</x:v>
      </x:c>
      <x:c r="M71" s="339"/>
      <x:c r="N71" s="339"/>
      <x:c r="O71" s="339"/>
      <x:c r="P71" s="339"/>
      <x:c r="Q71" s="339"/>
      <x:c r="R71" s="339"/>
      <x:c r="S71" s="339"/>
      <x:c r="T71" s="339"/>
      <x:c r="U71" s="339"/>
      <x:c r="V71" s="339"/>
      <x:c r="W71" s="339"/>
      <x:c r="X71" s="339"/>
      <x:c r="Y71" s="339"/>
      <x:c r="Z71" s="339"/>
    </x:row>
    <x:row r="72">
      <x:c r="A72" s="28" t="str">
        <x:v>Mature national social BCR at 5% uplift</x:v>
      </x:c>
      <x:c r="B72" s="478" t="n">
        <x:f>'Human Capital &amp; Earnings'!$J$102</x:f>
        <x:v>0.8956003849497204</x:v>
      </x:c>
      <x:c r="C72" s="478" t="n">
        <x:f>'Human Capital &amp; Earnings'!$K$102</x:f>
        <x:v>0.6920334476956341</x:v>
      </x:c>
      <x:c r="D72" s="478" t="n">
        <x:f>'Human Capital &amp; Earnings'!$L$102</x:f>
        <x:v>0.49488213891182653</x:v>
      </x:c>
      <x:c r="E72" s="28" t="str">
        <x:v>x</x:v>
      </x:c>
      <x:c r="F72" s="28" t="str">
        <x:v>Large sensitivity, not a forecast.</x:v>
      </x:c>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28" t="str">
        <x:v>Committed pooled co-investment</x:v>
      </x:c>
      <x:c r="B73" s="344" t="n">
        <x:f>'Delivery Scenarios'!$B$14</x:f>
        <x:v>0</x:v>
      </x:c>
      <x:c r="C73" s="344" t="n">
        <x:f>'Delivery Scenarios'!$B$14</x:f>
        <x:v>0</x:v>
      </x:c>
      <x:c r="D73" s="344" t="n">
        <x:f>'Delivery Scenarios'!$B$14</x:f>
        <x:v>0</x:v>
      </x:c>
      <x:c r="E73" s="28" t="str">
        <x:v>NZD/year</x:v>
      </x:c>
      <x:c r="F73" s="28" t="str">
        <x:v>Central value remains zero until signed.</x:v>
      </x:c>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1076" t="str">
        <x:v>Economic interpretation controls — Treasury-aligned lead view</x:v>
      </x:c>
      <x:c r="B75" s="1076"/>
      <x:c r="C75" s="1076"/>
      <x:c r="D75" s="1076"/>
      <x:c r="E75" s="1076"/>
      <x:c r="F75" s="1076"/>
      <x:c r="G75" s="1076"/>
      <x:c r="H75" s="1071"/>
      <x:c r="I75" s="1071"/>
      <x:c r="J75" s="1071"/>
      <x:c r="K75" s="1071"/>
      <x:c r="L75" s="1071"/>
      <x:c r="M75" s="339"/>
      <x:c r="N75" s="339"/>
      <x:c r="O75" s="339"/>
      <x:c r="P75" s="339"/>
      <x:c r="Q75" s="339"/>
      <x:c r="R75" s="339"/>
      <x:c r="S75" s="339"/>
      <x:c r="T75" s="339"/>
      <x:c r="U75" s="339"/>
      <x:c r="V75" s="339"/>
      <x:c r="W75" s="339"/>
      <x:c r="X75" s="339"/>
      <x:c r="Y75" s="339"/>
      <x:c r="Z75" s="339"/>
    </x:row>
    <x:row r="76">
      <x:c r="A76" s="1074" t="str">
        <x:v>Metric</x:v>
      </x:c>
      <x:c r="B76" s="1074" t="str">
        <x:v>2% Treasury-aligned</x:v>
      </x:c>
      <x:c r="C76" s="1074" t="str">
        <x:v>4% intermediate</x:v>
      </x:c>
      <x:c r="D76" s="1074" t="str">
        <x:v>8% high</x:v>
      </x:c>
      <x:c r="E76" s="1074" t="str">
        <x:v>Perspective</x:v>
      </x:c>
      <x:c r="F76" s="1074" t="str">
        <x:v>Evidence status</x:v>
      </x:c>
      <x:c r="G76" s="1074" t="str">
        <x:v>What it means</x:v>
      </x:c>
      <x:c r="H76" s="339"/>
      <x:c r="I76" s="339"/>
      <x:c r="J76" s="339"/>
      <x:c r="K76" s="339"/>
      <x:c r="L76" s="339"/>
      <x:c r="M76" s="339"/>
      <x:c r="N76" s="339"/>
      <x:c r="O76" s="339"/>
      <x:c r="P76" s="339"/>
      <x:c r="Q76" s="339"/>
      <x:c r="R76" s="339"/>
      <x:c r="S76" s="339"/>
      <x:c r="T76" s="339"/>
      <x:c r="U76" s="339"/>
      <x:c r="V76" s="339"/>
      <x:c r="W76" s="339"/>
      <x:c r="X76" s="339"/>
      <x:c r="Y76" s="339"/>
      <x:c r="Z76" s="339"/>
    </x:row>
    <x:row r="77">
      <x:c r="A77" s="28" t="str">
        <x:v>Full-expenditure social-investment BCR at 1% affected-population uplift</x:v>
      </x:c>
      <x:c r="B77" s="1077" t="n">
        <x:f>'Human Capital &amp; Earnings'!$J$99</x:f>
        <x:v>0.3817901563689555</x:v>
      </x:c>
      <x:c r="C77" s="1077" t="n">
        <x:f>'Human Capital &amp; Earnings'!$K$99</x:f>
        <x:v>0.3410767689181383</x:v>
      </x:c>
      <x:c r="D77" s="1077" t="n">
        <x:f>'Human Capital &amp; Earnings'!$L$99</x:f>
        <x:v>0.3016465071613768</x:v>
      </x:c>
      <x:c r="E77" s="28" t="str">
        <x:v>National social value / full public expenditure</x:v>
      </x:c>
      <x:c r="F77" s="28" t="str">
        <x:v>Scenario sensitivity</x:v>
      </x:c>
      <x:c r="G77" s="28" t="str">
        <x:v>Stringent value-for-money view; not Crown cash recovery.</x:v>
      </x:c>
      <x:c r="H77" s="339"/>
      <x:c r="I77" s="339"/>
      <x:c r="J77" s="339"/>
      <x:c r="K77" s="339"/>
      <x:c r="L77" s="339"/>
      <x:c r="M77" s="339"/>
      <x:c r="N77" s="339"/>
      <x:c r="O77" s="339"/>
      <x:c r="P77" s="339"/>
      <x:c r="Q77" s="339"/>
      <x:c r="R77" s="339"/>
      <x:c r="S77" s="339"/>
      <x:c r="T77" s="339"/>
      <x:c r="U77" s="339"/>
      <x:c r="V77" s="339"/>
      <x:c r="W77" s="339"/>
      <x:c r="X77" s="339"/>
      <x:c r="Y77" s="339"/>
      <x:c r="Z77" s="339"/>
    </x:row>
    <x:row r="78">
      <x:c r="A78" s="28" t="str">
        <x:v>Provisional alternative economic treatment of participant transfers — not Treasury-confirmed</x:v>
      </x:c>
      <x:c r="B78" s="1077" t="n">
        <x:f>'Human Capital &amp; Earnings'!$O$99</x:f>
        <x:v>1.8775030857228854</x:v>
      </x:c>
      <x:c r="C78" s="1077" t="n">
        <x:f>'Human Capital &amp; Earnings'!$P$99</x:f>
        <x:v>1.6772896719038268</x:v>
      </x:c>
      <x:c r="D78" s="1077" t="n">
        <x:f>'Human Capital &amp; Earnings'!$Q$99</x:f>
        <x:v>1.4833861966983553</x:v>
      </x:c>
      <x:c r="E78" s="28" t="str">
        <x:v>National social value / provisional real resource cost</x:v>
      </x:c>
      <x:c r="F78" s="28" t="str">
        <x:v>Provisional methodology — Treasury confirmation required</x:v>
      </x:c>
      <x:c r="G78" s="28" t="str">
        <x:v>Technical sensitivity only; not the principal public BCR.</x:v>
      </x:c>
      <x:c r="H78" s="339"/>
      <x:c r="I78" s="339"/>
      <x:c r="J78" s="339"/>
      <x:c r="K78" s="339"/>
      <x:c r="L78" s="339"/>
      <x:c r="M78" s="339"/>
      <x:c r="N78" s="339"/>
      <x:c r="O78" s="339"/>
      <x:c r="P78" s="339"/>
      <x:c r="Q78" s="339"/>
      <x:c r="R78" s="339"/>
      <x:c r="S78" s="339"/>
      <x:c r="T78" s="339"/>
      <x:c r="U78" s="339"/>
      <x:c r="V78" s="339"/>
      <x:c r="W78" s="339"/>
      <x:c r="X78" s="339"/>
      <x:c r="Y78" s="339"/>
      <x:c r="Z78" s="339"/>
    </x:row>
    <x:row r="79">
      <x:c r="A79" s="28" t="str">
        <x:v>Affected-population earnings uplift</x:v>
      </x:c>
      <x:c r="B79" s="1090" t="n">
        <x:v>0.01</x:v>
      </x:c>
      <x:c r="C79" s="1090" t="n">
        <x:v>0.01</x:v>
      </x:c>
      <x:c r="D79" s="1090" t="n">
        <x:v>0.01</x:v>
      </x:c>
      <x:c r="E79" s="28" t="str">
        <x:v>Effective affected employed population</x:v>
      </x:c>
      <x:c r="F79" s="28" t="str">
        <x:v>Scenario input</x:v>
      </x:c>
      <x:c r="G79" s="28" t="str">
        <x:v>Does not apply uniformly to all students.</x:v>
      </x:c>
      <x:c r="H79" s="339"/>
      <x:c r="I79" s="339"/>
      <x:c r="J79" s="339"/>
      <x:c r="K79" s="339"/>
      <x:c r="L79" s="339"/>
      <x:c r="M79" s="339"/>
      <x:c r="N79" s="339"/>
      <x:c r="O79" s="339"/>
      <x:c r="P79" s="339"/>
      <x:c r="Q79" s="339"/>
      <x:c r="R79" s="339"/>
      <x:c r="S79" s="339"/>
      <x:c r="T79" s="339"/>
      <x:c r="U79" s="339"/>
      <x:c r="V79" s="339"/>
      <x:c r="W79" s="339"/>
      <x:c r="X79" s="339"/>
      <x:c r="Y79" s="339"/>
      <x:c r="Z79" s="339"/>
    </x:row>
    <x:row r="80">
      <x:c r="A80" s="28" t="str">
        <x:v>Value-weighted cohort-equivalent uplift — broad non-overlap cohort</x:v>
      </x:c>
      <x:c r="B80" s="1090" t="n">
        <x:f>'Human Capital &amp; Earnings'!$D$140</x:f>
        <x:v>0.00165699</x:v>
      </x:c>
      <x:c r="C80" s="1090" t="n">
        <x:f>'Human Capital &amp; Earnings'!$D$140</x:f>
        <x:v>0.00165699</x:v>
      </x:c>
      <x:c r="D80" s="1090" t="n">
        <x:f>'Human Capital &amp; Earnings'!$D$140</x:f>
        <x:v>0.00165699</x:v>
      </x:c>
      <x:c r="E80" s="28" t="str">
        <x:v>Broad non-overlap cohort</x:v>
      </x:c>
      <x:c r="F80" s="28" t="str">
        <x:v>Calculated explanation</x:v>
      </x:c>
      <x:c r="G80" s="28" t="str">
        <x:v>Equivalent average carrying the same modelled earnings value.</x:v>
      </x:c>
      <x:c r="H80" s="339"/>
      <x:c r="I80" s="339"/>
      <x:c r="J80" s="339"/>
      <x:c r="K80" s="339"/>
      <x:c r="L80" s="339"/>
      <x:c r="M80" s="339"/>
      <x:c r="N80" s="339"/>
      <x:c r="O80" s="339"/>
      <x:c r="P80" s="339"/>
      <x:c r="Q80" s="339"/>
      <x:c r="R80" s="339"/>
      <x:c r="S80" s="339"/>
      <x:c r="T80" s="339"/>
      <x:c r="U80" s="339"/>
      <x:c r="V80" s="339"/>
      <x:c r="W80" s="339"/>
      <x:c r="X80" s="339"/>
      <x:c r="Y80" s="339"/>
      <x:c r="Z80" s="339"/>
    </x:row>
    <x:row r="81">
      <x:c r="A81" s="28" t="str">
        <x:v>Value-weighted cohort-equivalent uplift — full eligible cohort</x:v>
      </x:c>
      <x:c r="B81" s="1090" t="n">
        <x:f>'Human Capital &amp; Earnings'!$D$141</x:f>
        <x:v>0.0016197077249999999</x:v>
      </x:c>
      <x:c r="C81" s="1090" t="n">
        <x:f>'Human Capital &amp; Earnings'!$D$141</x:f>
        <x:v>0.0016197077249999999</x:v>
      </x:c>
      <x:c r="D81" s="1090" t="n">
        <x:f>'Human Capital &amp; Earnings'!$D$141</x:f>
        <x:v>0.0016197077249999999</x:v>
      </x:c>
      <x:c r="E81" s="28" t="str">
        <x:v>Full annual eligible cohort</x:v>
      </x:c>
      <x:c r="F81" s="28" t="str">
        <x:v>Calculated explanation</x:v>
      </x:c>
      <x:c r="G81" s="28" t="str">
        <x:v>Preferred public whole-cohort equivalent.</x:v>
      </x:c>
      <x:c r="H81" s="339"/>
      <x:c r="I81" s="339"/>
      <x:c r="J81" s="339"/>
      <x:c r="K81" s="339"/>
      <x:c r="L81" s="339"/>
      <x:c r="M81" s="339"/>
      <x:c r="N81" s="339"/>
      <x:c r="O81" s="339"/>
      <x:c r="P81" s="339"/>
      <x:c r="Q81" s="339"/>
      <x:c r="R81" s="339"/>
      <x:c r="S81" s="339"/>
      <x:c r="T81" s="339"/>
      <x:c r="U81" s="339"/>
      <x:c r="V81" s="339"/>
      <x:c r="W81" s="339"/>
      <x:c r="X81" s="339"/>
      <x:c r="Y81" s="339"/>
      <x:c r="Z81" s="339"/>
    </x:row>
    <x:row r="82">
      <x:c r="A82" s="28" t="str">
        <x:v>Core plus targeted accelerator status</x:v>
      </x:c>
      <x:c r="B82" s="28" t="str">
        <x:v>Leading testable structural scenario</x:v>
      </x:c>
      <x:c r="C82" s="28"/>
      <x:c r="D82" s="28"/>
      <x:c r="E82" s="28" t="str">
        <x:v>Delivery structure</x:v>
      </x:c>
      <x:c r="F82" s="28" t="str">
        <x:v>Leading testable structural scenario</x:v>
      </x:c>
      <x:c r="G82" s="28" t="str">
        <x:v>Financially promising under assumptions, not proven.</x:v>
      </x:c>
      <x:c r="H82" s="339"/>
      <x:c r="I82" s="339"/>
      <x:c r="J82" s="339"/>
      <x:c r="K82" s="339"/>
      <x:c r="L82" s="339"/>
      <x:c r="M82" s="339"/>
      <x:c r="N82" s="339"/>
      <x:c r="O82" s="339"/>
      <x:c r="P82" s="339"/>
      <x:c r="Q82" s="339"/>
      <x:c r="R82" s="339"/>
      <x:c r="S82" s="339"/>
      <x:c r="T82" s="339"/>
      <x:c r="U82" s="339"/>
      <x:c r="V82" s="339"/>
      <x:c r="W82" s="339"/>
      <x:c r="X82" s="339"/>
      <x:c r="Y82" s="339"/>
      <x:c r="Z82" s="339"/>
    </x:row>
    <x:row r="83">
      <x:c r="A83" s="1312"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83" s="1312"/>
      <x:c r="C83" s="1312"/>
      <x:c r="D83" s="1312"/>
      <x:c r="E83" s="1312"/>
      <x:c r="F83" s="1312"/>
      <x:c r="G83" s="1312"/>
      <x:c r="H83" s="1312"/>
      <x:c r="I83" s="1312"/>
      <x:c r="J83" s="1312"/>
      <x:c r="K83" s="1312"/>
      <x:c r="L83" s="1312"/>
      <x:c r="M83" s="339"/>
      <x:c r="N83" s="339"/>
      <x:c r="O83" s="339"/>
      <x:c r="P83" s="339"/>
      <x:c r="Q83" s="339"/>
      <x:c r="R83" s="339"/>
      <x:c r="S83" s="339"/>
      <x:c r="T83" s="339"/>
      <x:c r="U83" s="339"/>
      <x:c r="V83" s="339"/>
      <x:c r="W83" s="339"/>
      <x:c r="X83" s="339"/>
      <x:c r="Y83" s="339"/>
      <x:c r="Z83" s="339"/>
    </x:row>
    <x:row r="84">
      <x:c r="A84" s="1312"/>
      <x:c r="B84" s="1312"/>
      <x:c r="C84" s="1312"/>
      <x:c r="D84" s="1312"/>
      <x:c r="E84" s="1312"/>
      <x:c r="F84" s="1312"/>
      <x:c r="G84" s="1312"/>
      <x:c r="H84" s="1312"/>
      <x:c r="I84" s="1312"/>
      <x:c r="J84" s="1312"/>
      <x:c r="K84" s="1312"/>
      <x:c r="L84" s="1312"/>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L1"/>
    <x:mergeCell ref="A2:L2"/>
    <x:mergeCell ref="A4:L6"/>
    <x:mergeCell ref="A8:F8"/>
    <x:mergeCell ref="H8:L8"/>
    <x:mergeCell ref="A18:F18"/>
    <x:mergeCell ref="H18:L18"/>
    <x:mergeCell ref="A28:L28"/>
    <x:mergeCell ref="A37:L37"/>
    <x:mergeCell ref="A38:B38"/>
    <x:mergeCell ref="C38:L38"/>
    <x:mergeCell ref="A39:B39"/>
    <x:mergeCell ref="C39:L39"/>
    <x:mergeCell ref="A40:B40"/>
    <x:mergeCell ref="C40:L40"/>
    <x:mergeCell ref="A41:B41"/>
    <x:mergeCell ref="C41:L41"/>
    <x:mergeCell ref="A42:B42"/>
    <x:mergeCell ref="C42:L42"/>
    <x:mergeCell ref="A43:B43"/>
    <x:mergeCell ref="C43:L43"/>
    <x:mergeCell ref="A44:B44"/>
    <x:mergeCell ref="C44:L44"/>
    <x:mergeCell ref="A29:L34"/>
    <x:mergeCell ref="A66:L66"/>
    <x:mergeCell ref="A75:L75"/>
    <x:mergeCell ref="A83:L84"/>
  </x:mergeCells>
  <x:pageMargins left="0.7" right="0.7" top="0.75" bottom="0.75" header="0.3" footer="0.3"/>
  <x:drawing xmlns:r="http://schemas.openxmlformats.org/officeDocument/2006/relationships" r:id="R10a1bc7fdd3e4589"/>
</x:worksheet>
</file>

<file path=xl/worksheets/sheet2.xml><?xml version="1.0" encoding="utf-8"?>
<x:worksheet xmlns:x="http://schemas.openxmlformats.org/spreadsheetml/2006/main">
  <x:sheetViews>
    <x:sheetView showGridLines="0" workbookViewId="0"/>
  </x:sheetViews>
  <x:sheetFormatPr defaultRowHeight="15"/>
  <x:cols>
    <x:col min="1" max="1" width="21" hidden="0" customWidth="1"/>
    <x:col min="2" max="2" width="15" hidden="0" customWidth="1"/>
    <x:col min="3" max="3" width="14" hidden="0" customWidth="1"/>
    <x:col min="4" max="4" width="18" hidden="0" customWidth="1"/>
    <x:col min="5" max="5" width="21" hidden="0" customWidth="1"/>
    <x:col min="6" max="6" width="15" hidden="0" customWidth="1"/>
    <x:col min="7" max="7" width="14" hidden="0" customWidth="1"/>
    <x:col min="8" max="8" width="18" hidden="0" customWidth="1"/>
    <x:col min="9" max="9" width="17" hidden="0" customWidth="1"/>
    <x:col min="10" max="10" width="28" hidden="0" customWidth="1"/>
  </x:cols>
  <x:sheetData>
    <x:row r="1" ht="28" customHeight="1">
      <x:c r="A1" s="1173" t="str">
        <x:v>He Ara Angitū — Public Financial Summary</x:v>
      </x:c>
      <x:c r="B1" s="1173"/>
      <x:c r="C1" s="1173"/>
      <x:c r="D1" s="1173"/>
      <x:c r="E1" s="1173"/>
      <x:c r="F1" s="1173"/>
      <x:c r="G1" s="1173"/>
      <x:c r="H1" s="1173"/>
      <x:c r="I1" s="1173"/>
      <x:c r="J1" s="1173"/>
    </x:row>
    <x:row r="2">
      <x:c r="A2" s="1215" t="str">
        <x:v>Stage 0 feasibility and co-design, a bounded three-year pilot, and conditional national scenarios. All figures are formula-linked to the detailed financial model.</x:v>
      </x:c>
      <x:c r="B2" s="1215"/>
      <x:c r="C2" s="1215"/>
      <x:c r="D2" s="1215"/>
      <x:c r="E2" s="1215"/>
      <x:c r="F2" s="1215"/>
      <x:c r="G2" s="1215"/>
      <x:c r="H2" s="1215"/>
      <x:c r="I2" s="1215"/>
      <x:c r="J2" s="1215"/>
    </x:row>
    <x:row r="3">
      <x:c r="A3" s="26"/>
      <x:c r="B3" s="26"/>
      <x:c r="C3" s="26"/>
      <x:c r="D3" s="26"/>
      <x:c r="E3" s="26"/>
      <x:c r="F3" s="26"/>
      <x:c r="G3" s="26"/>
      <x:c r="H3" s="26"/>
      <x:c r="I3" s="26"/>
      <x:c r="J3" s="26"/>
    </x:row>
    <x:row r="4" ht="22" customHeight="1">
      <x:c r="A4" s="1216" t="str">
        <x:v>WHAT IS BEING REQUESTED NOW?  Approve and fund Stage 0 feasibility, co-design, legal and data architecture, economic validation and the full business case. This is not a request to approve the pilot or national rollout.</x:v>
      </x:c>
      <x:c r="B4" s="1216"/>
      <x:c r="C4" s="1216"/>
      <x:c r="D4" s="1216"/>
      <x:c r="E4" s="1216"/>
      <x:c r="F4" s="1216"/>
      <x:c r="G4" s="1216"/>
      <x:c r="H4" s="1216"/>
      <x:c r="I4" s="1216"/>
      <x:c r="J4" s="1216"/>
    </x:row>
    <x:row r="5" ht="22" customHeight="1">
      <x:c r="A5" s="1216"/>
      <x:c r="B5" s="1216"/>
      <x:c r="C5" s="1216"/>
      <x:c r="D5" s="1216"/>
      <x:c r="E5" s="1216"/>
      <x:c r="F5" s="1216"/>
      <x:c r="G5" s="1216"/>
      <x:c r="H5" s="1216"/>
      <x:c r="I5" s="1216"/>
      <x:c r="J5" s="1216"/>
    </x:row>
    <x:row r="6">
      <x:c r="A6" s="1217"/>
      <x:c r="B6" s="1217"/>
      <x:c r="C6" s="1217"/>
      <x:c r="D6" s="1217"/>
      <x:c r="E6" s="1217"/>
      <x:c r="F6" s="1217"/>
      <x:c r="G6" s="1217"/>
      <x:c r="H6" s="1217"/>
      <x:c r="I6" s="1217"/>
      <x:c r="J6" s="1217"/>
    </x:row>
    <x:row r="7">
      <x:c r="A7" s="1218" t="str">
        <x:v>Stage and scenario costs</x:v>
      </x:c>
      <x:c r="B7" s="1218"/>
      <x:c r="C7" s="1218"/>
      <x:c r="D7" s="1218"/>
      <x:c r="E7" s="1218"/>
      <x:c r="F7" s="1218"/>
      <x:c r="G7" s="1218"/>
      <x:c r="H7" s="1218"/>
      <x:c r="I7" s="1218"/>
      <x:c r="J7" s="1218"/>
    </x:row>
    <x:row r="8">
      <x:c r="A8" s="1219" t="str">
        <x:v>Stage / scenario</x:v>
      </x:c>
      <x:c r="B8" s="1219" t="str">
        <x:v>Period</x:v>
      </x:c>
      <x:c r="C8" s="1219" t="str">
        <x:v>Cost (NZD million)</x:v>
      </x:c>
      <x:c r="D8" s="1219" t="str">
        <x:v>Decision status</x:v>
      </x:c>
      <x:c r="E8" s="1219" t="str">
        <x:v>Stage / scenario</x:v>
      </x:c>
      <x:c r="F8" s="1219" t="str">
        <x:v>Period</x:v>
      </x:c>
      <x:c r="G8" s="1219" t="str">
        <x:v>Cost (NZD million)</x:v>
      </x:c>
      <x:c r="H8" s="1219" t="str">
        <x:v>Decision status</x:v>
      </x:c>
      <x:c r="I8" s="1219" t="str">
        <x:v>Evidence status</x:v>
      </x:c>
      <x:c r="J8" s="1219" t="str">
        <x:v>Public interpretation</x:v>
      </x:c>
    </x:row>
    <x:row r="9">
      <x:c r="A9" s="1217" t="str">
        <x:v>Stage 0 feasibility and co-design</x:v>
      </x:c>
      <x:c r="B9" s="1217" t="str">
        <x:v>Year 0</x:v>
      </x:c>
      <x:c r="C9" s="1318" t="n">
        <x:f>'Stage 0 - Year 0'!H54/1000000</x:f>
        <x:v>5.317875</x:v>
      </x:c>
      <x:c r="D9" s="1221" t="str">
        <x:v>Immediate decision sought</x:v>
      </x:c>
      <x:c r="E9" s="1217" t="str">
        <x:v>Three-year pilot</x:v>
      </x:c>
      <x:c r="F9" s="1217" t="str">
        <x:v>Three years</x:v>
      </x:c>
      <x:c r="G9" s="1318" t="n">
        <x:f>'Stage 1 - Pilot'!E6/1000000</x:f>
        <x:v>97.579970263125</x:v>
      </x:c>
      <x:c r="H9" s="1222" t="str">
        <x:v>Conditional on Stage 0</x:v>
      </x:c>
      <x:c r="I9" s="1222" t="str">
        <x:v>Planning estimate</x:v>
      </x:c>
      <x:c r="J9" s="1217" t="str">
        <x:v>Stage 0 must complete the legal, data, delivery and economic case.</x:v>
      </x:c>
    </x:row>
    <x:row r="10">
      <x:c r="A10" s="1217" t="str">
        <x:v>Universal core only</x:v>
      </x:c>
      <x:c r="B10" s="1217" t="str">
        <x:v>Annual national</x:v>
      </x:c>
      <x:c r="C10" s="1318" t="n">
        <x:f>'Delivery Scenarios'!G20/1000000</x:f>
        <x:v>825.1368703583333</x:v>
      </x:c>
      <x:c r="D10" s="1221" t="str">
        <x:v>Scenario comparator</x:v>
      </x:c>
      <x:c r="E10" s="1217" t="str">
        <x:v>Core plus targeted accelerator</x:v>
      </x:c>
      <x:c r="F10" s="1217" t="str">
        <x:v>Annual national</x:v>
      </x:c>
      <x:c r="G10" s="1318" t="n">
        <x:f>'Delivery Scenarios'!G21/1000000</x:f>
        <x:v>875.0157503583333</x:v>
      </x:c>
      <x:c r="H10" s="1222" t="str">
        <x:v>Leading testable structural scenario</x:v>
      </x:c>
      <x:c r="I10" s="1222" t="str">
        <x:v>Scenario only</x:v>
      </x:c>
      <x:c r="J10" s="1217" t="str">
        <x:v>Lower-cost structure; retained high-risk effect is unproven.</x:v>
      </x:c>
    </x:row>
    <x:row r="11">
      <x:c r="A11" s="1217" t="str">
        <x:v>Mature full national design</x:v>
      </x:c>
      <x:c r="B11" s="1217" t="str">
        <x:v>Annual national</x:v>
      </x:c>
      <x:c r="C11" s="1318" t="n">
        <x:f>'Stage 2 - National'!K48/1000000</x:f>
        <x:v>1526.1377290833334</x:v>
      </x:c>
      <x:c r="D11" s="1221" t="str">
        <x:v>Planning comparator only</x:v>
      </x:c>
      <x:c r="E11" s="1217" t="str">
        <x:v>Detailed model</x:v>
      </x:c>
      <x:c r="F11" s="1217" t="str">
        <x:v>All stages</x:v>
      </x:c>
      <x:c r="G11" s="1217"/>
      <x:c r="H11" s="1222" t="str">
        <x:v>See the detailed workbook sheets</x:v>
      </x:c>
      <x:c r="I11" s="1222" t="str">
        <x:v>Conditional</x:v>
      </x:c>
      <x:c r="J11" s="1217" t="str">
        <x:v>National rollout remains conditional on Stage 0 and pilot evidence.</x:v>
      </x:c>
    </x:row>
    <x:row r="12">
      <x:c r="A12" s="1217"/>
      <x:c r="B12" s="1217"/>
      <x:c r="C12" s="1217"/>
      <x:c r="D12" s="1217"/>
      <x:c r="E12" s="1217"/>
      <x:c r="F12" s="1217"/>
      <x:c r="G12" s="1217"/>
      <x:c r="H12" s="1217"/>
      <x:c r="I12" s="1217"/>
      <x:c r="J12" s="1217"/>
    </x:row>
    <x:row r="13">
      <x:c r="A13" s="1218" t="str">
        <x:v>Why small gains across a broad cohort matter</x:v>
      </x:c>
      <x:c r="B13" s="1218"/>
      <x:c r="C13" s="1218"/>
      <x:c r="D13" s="1218"/>
      <x:c r="E13" s="1218"/>
      <x:c r="F13" s="1218"/>
      <x:c r="G13" s="1218"/>
      <x:c r="H13" s="1218"/>
      <x:c r="I13" s="1218"/>
      <x:c r="J13" s="1218"/>
    </x:row>
    <x:row r="14" ht="28" customHeight="1">
      <x:c r="A14" s="1223" t="str">
        <x:v>Verified participation</x:v>
      </x:c>
      <x:c r="B14" s="1223"/>
      <x:c r="C14" s="1223" t="str">
        <x:v>Stronger engagement
and attainment</x:v>
      </x:c>
      <x:c r="D14" s="1223"/>
      <x:c r="E14" s="1223" t="str">
        <x:v>Better transition
and completion</x:v>
      </x:c>
      <x:c r="F14" s="1223"/>
      <x:c r="G14" s="1223" t="str">
        <x:v>Improved employment
continuity</x:v>
      </x:c>
      <x:c r="H14" s="1223"/>
      <x:c r="I14" s="1223" t="str">
        <x:v>Higher earnings
potential</x:v>
      </x:c>
      <x:c r="J14" s="1223"/>
    </x:row>
    <x:row r="15" ht="28" customHeight="1">
      <x:c r="A15" s="1223"/>
      <x:c r="B15" s="1223"/>
      <x:c r="C15" s="1223"/>
      <x:c r="D15" s="1223"/>
      <x:c r="E15" s="1223"/>
      <x:c r="F15" s="1223"/>
      <x:c r="G15" s="1223"/>
      <x:c r="H15" s="1223"/>
      <x:c r="I15" s="1223"/>
      <x:c r="J15" s="1223"/>
    </x:row>
    <x:row r="16" ht="24" customHeight="1">
      <x:c r="A16" s="1224" t="str">
        <x:v>Preventing severe sustained outcomes among young people not in employment, education or training (NEET) remains an important high-risk pathway, but it is not the only route to value. Participants do not need to move from NEET to non-NEET for the programme to create an economic benefit. Smaller improvements across many students may create substantial cumulative value.</x:v>
      </x:c>
      <x:c r="B16" s="1224"/>
      <x:c r="C16" s="1224"/>
      <x:c r="D16" s="1224"/>
      <x:c r="E16" s="1224"/>
      <x:c r="F16" s="1224"/>
      <x:c r="G16" s="1224"/>
      <x:c r="H16" s="1224"/>
      <x:c r="I16" s="1224"/>
      <x:c r="J16" s="1224"/>
    </x:row>
    <x:row r="17" ht="24" customHeight="1">
      <x:c r="A17" s="1224"/>
      <x:c r="B17" s="1224"/>
      <x:c r="C17" s="1224"/>
      <x:c r="D17" s="1224"/>
      <x:c r="E17" s="1224"/>
      <x:c r="F17" s="1224"/>
      <x:c r="G17" s="1224"/>
      <x:c r="H17" s="1224"/>
      <x:c r="I17" s="1224"/>
      <x:c r="J17" s="1224"/>
    </x:row>
    <x:row r="18">
      <x:c r="A18" s="1217"/>
      <x:c r="B18" s="1217"/>
      <x:c r="C18" s="1217"/>
      <x:c r="D18" s="1217"/>
      <x:c r="E18" s="1217"/>
      <x:c r="F18" s="1217"/>
      <x:c r="G18" s="1217"/>
      <x:c r="H18" s="1217"/>
      <x:c r="I18" s="1217"/>
      <x:c r="J18" s="1217"/>
    </x:row>
    <x:row r="19">
      <x:c r="A19" s="1218" t="str">
        <x:v>One-percent whole-cohort earnings sensitivity — mature national design</x:v>
      </x:c>
      <x:c r="B19" s="1218"/>
      <x:c r="C19" s="1218"/>
      <x:c r="D19" s="1218"/>
      <x:c r="E19" s="1218"/>
      <x:c r="F19" s="1218"/>
      <x:c r="G19" s="1218"/>
      <x:c r="H19" s="1218"/>
      <x:c r="I19" s="1218"/>
      <x:c r="J19" s="1218"/>
    </x:row>
    <x:row r="20">
      <x:c r="A20" s="1219" t="str">
        <x:v>Annual eligible cohort</x:v>
      </x:c>
      <x:c r="B20" s="1219" t="str">
        <x:v>Averted sustained-NEET cases</x:v>
      </x:c>
      <x:c r="C20" s="1219" t="str">
        <x:v>Broad non-overlap cohort</x:v>
      </x:c>
      <x:c r="D20" s="1219" t="str">
        <x:v>Effective affected employed population</x:v>
      </x:c>
      <x:c r="E20" s="1219" t="str">
        <x:v>Affected-population uplift</x:v>
      </x:c>
      <x:c r="F20" s="1219" t="str">
        <x:v>Full-cohort equivalent uplift</x:v>
      </x:c>
      <x:c r="G20" s="1219" t="str">
        <x:v>Lifetime earnings PV — 2%</x:v>
      </x:c>
      <x:c r="H20" s="1219" t="str">
        <x:v>Full-expenditure BCR — 2%</x:v>
      </x:c>
      <x:c r="I20" s="1219" t="str">
        <x:v>Alternative participant-transfer treatment</x:v>
      </x:c>
      <x:c r="J20" s="1219" t="str">
        <x:v>Crown fiscal coverage — 2%</x:v>
      </x:c>
    </x:row>
    <x:row r="21">
      <x:c r="A21" s="1319" t="n">
        <x:f>'Human Capital &amp; Earnings'!B29</x:f>
        <x:v>62348.6</x:v>
      </x:c>
      <x:c r="B21" s="1319" t="n">
        <x:f>'Benefits &amp; BCR'!C18</x:f>
        <x:v>1402.8434999999997</x:v>
      </x:c>
      <x:c r="C21" s="1319" t="n">
        <x:f>'Human Capital &amp; Earnings'!B31</x:f>
        <x:v>60945.756499999996</x:v>
      </x:c>
      <x:c r="D21" s="1319" t="n">
        <x:f>'Human Capital &amp; Earnings'!B41</x:f>
        <x:v>8583.853270349473</x:v>
      </x:c>
      <x:c r="E21" s="1320" t="n">
        <x:f>'Human Capital &amp; Earnings'!A99</x:f>
        <x:v>0.01</x:v>
      </x:c>
      <x:c r="F21" s="1320" t="n">
        <x:f>'Human Capital &amp; Earnings'!D141</x:f>
        <x:v>0.0016197077249999999</x:v>
      </x:c>
      <x:c r="G21" s="1318" t="n">
        <x:f>'Human Capital &amp; Earnings'!C99/1000000</x:f>
        <x:v>196.03629385650922</x:v>
      </x:c>
      <x:c r="H21" s="1330" t="n">
        <x:f>'Human Capital &amp; Earnings'!J99</x:f>
        <x:v>0.3817901563689555</x:v>
      </x:c>
      <x:c r="I21" s="1331" t="str">
        <x:v>Technical methodology only</x:v>
      </x:c>
      <x:c r="J21" s="1332" t="n">
        <x:f>('Human Capital &amp; Earnings'!$E$116+'Human Capital &amp; Earnings'!$H$116+'Human Capital &amp; Earnings'!$I$116+'Delivery Scenarios'!$K$23)/'Human Capital &amp; Earnings'!$C$116</x:f>
        <x:v>0.15307249872414824</x:v>
      </x:c>
    </x:row>
    <x:row r="22" ht="24" customHeight="1">
      <x:c r="A22" s="1230" t="str">
        <x:v>The earnings uplift does not apply uniformly to every student. The cohort-equivalent figure shows the same total modelled value expressed as an average across the full annual cohort. This is a sensitivity, not a demonstrated programme outcome.</x:v>
      </x:c>
      <x:c r="B22" s="1230"/>
      <x:c r="C22" s="1230"/>
      <x:c r="D22" s="1230"/>
      <x:c r="E22" s="1230"/>
      <x:c r="F22" s="1230"/>
      <x:c r="G22" s="1230"/>
      <x:c r="H22" s="1230"/>
      <x:c r="I22" s="1230"/>
      <x:c r="J22" s="1230"/>
    </x:row>
    <x:row r="23" ht="24" customHeight="1">
      <x:c r="A23" s="1230"/>
      <x:c r="B23" s="1230"/>
      <x:c r="C23" s="1230"/>
      <x:c r="D23" s="1230"/>
      <x:c r="E23" s="1230"/>
      <x:c r="F23" s="1230"/>
      <x:c r="G23" s="1230"/>
      <x:c r="H23" s="1230"/>
      <x:c r="I23" s="1230"/>
      <x:c r="J23" s="1230"/>
    </x:row>
    <x:row r="24">
      <x:c r="A24" s="1217"/>
      <x:c r="B24" s="1217"/>
      <x:c r="C24" s="1217"/>
      <x:c r="D24" s="1217"/>
      <x:c r="E24" s="1217"/>
      <x:c r="F24" s="1217"/>
      <x:c r="G24" s="1217"/>
      <x:c r="H24" s="1217"/>
      <x:c r="I24" s="1217"/>
      <x:c r="J24" s="1217"/>
    </x:row>
    <x:row r="25">
      <x:c r="A25" s="1218" t="str">
        <x:v>Understanding the returns — mature national design at the 1% earnings sensitivity</x:v>
      </x:c>
      <x:c r="B25" s="1218"/>
      <x:c r="C25" s="1218"/>
      <x:c r="D25" s="1218"/>
      <x:c r="E25" s="1218"/>
      <x:c r="F25" s="1218"/>
      <x:c r="G25" s="1218"/>
      <x:c r="H25" s="1218"/>
      <x:c r="I25" s="1218"/>
      <x:c r="J25" s="1218"/>
    </x:row>
    <x:row r="26">
      <x:c r="A26" s="1291" t="str">
        <x:v>Metric</x:v>
      </x:c>
      <x:c r="B26" s="1291" t="str">
        <x:v>Result</x:v>
      </x:c>
      <x:c r="C26" s="1291" t="str">
        <x:v>Status</x:v>
      </x:c>
      <x:c r="D26" s="1291" t="str">
        <x:v>What it measures</x:v>
      </x:c>
      <x:c r="E26" s="1291" t="str">
        <x:v>Metric</x:v>
      </x:c>
      <x:c r="F26" s="1291" t="str">
        <x:v>Result</x:v>
      </x:c>
      <x:c r="G26" s="1291" t="str">
        <x:v>Status</x:v>
      </x:c>
      <x:c r="H26" s="1291" t="str">
        <x:v>What it measures</x:v>
      </x:c>
      <x:c r="I26" s="1291" t="str">
        <x:v>Rate</x:v>
      </x:c>
      <x:c r="J26" s="1291" t="str">
        <x:v>Critical clarification</x:v>
      </x:c>
    </x:row>
    <x:row r="27" ht="34" customHeight="1">
      <x:c r="A27" s="1289" t="str">
        <x:v>Full-expenditure social BCR</x:v>
      </x:c>
      <x:c r="B27" s="1330" t="n">
        <x:f>'Human Capital &amp; Earnings'!$J$99</x:f>
        <x:v>0.3817901563689555</x:v>
      </x:c>
      <x:c r="C27" s="1333" t="str">
        <x:v>Below 1.00x</x:v>
      </x:c>
      <x:c r="D27" s="1289" t="str">
        <x:v>Included social benefit per dollar of full public expenditure</x:v>
      </x:c>
      <x:c r="E27" s="1289" t="str">
        <x:v>Crown fiscal coverage</x:v>
      </x:c>
      <x:c r="F27" s="1332" t="n">
        <x:f>('Human Capital &amp; Earnings'!$E$116+'Human Capital &amp; Earnings'!$H$116+'Human Capital &amp; Earnings'!$I$116+'Delivery Scenarios'!$K$23)/'Human Capital &amp; Earnings'!$C$116</x:f>
        <x:v>0.15307249872414824</x:v>
      </x:c>
      <x:c r="G27" s="1333" t="str">
        <x:v>Below 100%</x:v>
      </x:c>
      <x:c r="H27" s="1289" t="str">
        <x:v>Valid Crown offsets relative to full Crown expenditure</x:v>
      </x:c>
      <x:c r="I27" s="1289" t="str">
        <x:v>2% lead case</x:v>
      </x:c>
      <x:c r="J27" s="1289" t="str">
        <x:v>The full-expenditure BCR is the principal public value-for-money result.</x:v>
      </x:c>
    </x:row>
    <x:row r="28" ht="34" customHeight="1">
      <x:c r="A28" s="1289" t="str">
        <x:v>Conventional net social ROI</x:v>
      </x:c>
      <x:c r="B28" s="1334" t="n">
        <x:f>'Human Capital &amp; Earnings'!$J$99-1</x:f>
        <x:v>-0.6182098436310445</x:v>
      </x:c>
      <x:c r="C28" s="1333" t="str">
        <x:v>Negative</x:v>
      </x:c>
      <x:c r="D28" s="1289" t="str">
        <x:v>(Full-expenditure BCR − 1) × 100</x:v>
      </x:c>
      <x:c r="E28" s="1289" t="str">
        <x:v>Conventional net Crown fiscal ROI</x:v>
      </x:c>
      <x:c r="F28" s="1334" t="n">
        <x:f>('Human Capital &amp; Earnings'!$E$116+'Human Capital &amp; Earnings'!$H$116+'Human Capital &amp; Earnings'!$I$116+'Delivery Scenarios'!$K$23)/'Human Capital &amp; Earnings'!$C$116-1</x:f>
        <x:v>-0.8469275012758517</x:v>
      </x:c>
      <x:c r="G28" s="1333" t="str">
        <x:v>Negative</x:v>
      </x:c>
      <x:c r="H28" s="1289" t="str">
        <x:v>(Fiscal coverage − 1) × 100</x:v>
      </x:c>
      <x:c r="I28" s="1289" t="str">
        <x:v>2% lead case</x:v>
      </x:c>
      <x:c r="J28" s="1289" t="str">
        <x:v>Social ROI is not Government profit.</x:v>
      </x:c>
    </x:row>
    <x:row r="29" ht="34" customHeight="1">
      <x:c r="A29" s="1289" t="str">
        <x:v>Social break-even affected-population uplift</x:v>
      </x:c>
      <x:c r="B29" s="1335" t="n">
        <x:f>'Human Capital &amp; Earnings'!$J$116</x:f>
        <x:v>0.058127484370145754</x:v>
      </x:c>
      <x:c r="C29" s="1336" t="str">
        <x:v>Evidence hurdle</x:v>
      </x:c>
      <x:c r="D29" s="1289" t="str">
        <x:v>Uplift required for full-expenditure BCR to reach 1.00x</x:v>
      </x:c>
      <x:c r="E29" s="1289" t="str">
        <x:v>Crown fiscal break-even affected-population uplift</x:v>
      </x:c>
      <x:c r="F29" s="1335" t="n">
        <x:f>'Human Capital &amp; Earnings'!$K$116</x:f>
        <x:v>0.21211870542530076</x:v>
      </x:c>
      <x:c r="G29" s="1336" t="str">
        <x:v>Evidence hurdle</x:v>
      </x:c>
      <x:c r="H29" s="1289" t="str">
        <x:v>Uplift required for fiscal coverage to reach 100%</x:v>
      </x:c>
      <x:c r="I29" s="1289" t="str">
        <x:v>2% lead case</x:v>
      </x:c>
      <x:c r="J29" s="1289" t="str">
        <x:v>These are reverse-calculated sensitivities, not forecasts.</x:v>
      </x:c>
    </x:row>
    <x:row r="30" ht="34" customHeight="1">
      <x:c r="A30" s="1333" t="str">
        <x:v>Net Crown fiscal cost</x:v>
      </x:c>
      <x:c r="B30" s="1337" t="n">
        <x:f>'Human Capital &amp; Earnings'!$C$116-('Human Capital &amp; Earnings'!$E$116+'Human Capital &amp; Earnings'!$H$116+'Human Capital &amp; Earnings'!$I$116+'Delivery Scenarios'!$K$23)</x:f>
        <x:v>1292528013.4953504</x:v>
      </x:c>
      <x:c r="C30" s="1333" t="str">
        <x:v>Net fiscal loss</x:v>
      </x:c>
      <x:c r="D30" s="1289" t="str">
        <x:v>Full expenditure less valid Crown fiscal offsets</x:v>
      </x:c>
      <x:c r="E30" s="1336" t="str">
        <x:v>Alternative participant-transfer methodology</x:v>
      </x:c>
      <x:c r="F30" s="1292" t="str">
        <x:v>May materially change the result; confirmation required.</x:v>
      </x:c>
      <x:c r="G30" s="1292" t="str">
        <x:v>Provisional</x:v>
      </x:c>
      <x:c r="H30" s="1292" t="str">
        <x:v>Detailed calculation retained</x:v>
      </x:c>
      <x:c r="I30" s="1292" t="str">
        <x:v>Not a public headline</x:v>
      </x:c>
      <x:c r="J30" s="1292" t="str">
        <x:v>Not Treasury-endorsed</x:v>
      </x:c>
    </x:row>
    <x:row r="31">
      <x:c r="A31" s="1218" t="str">
        <x:v>What the model concludes</x:v>
      </x:c>
      <x:c r="B31" s="1218"/>
      <x:c r="C31" s="1218"/>
      <x:c r="D31" s="1218"/>
      <x:c r="E31" s="1218"/>
      <x:c r="F31" s="1218"/>
      <x:c r="G31" s="1218"/>
      <x:c r="H31" s="1218"/>
      <x:c r="I31" s="1218"/>
      <x:c r="J31" s="1218"/>
    </x:row>
    <x:row r="32" ht="42" customHeight="1">
      <x:c r="A32" s="1234" t="str">
        <x:v>Current conclusion
Small broad gains materially improve the BCR, but the mature full national design remains below break-even on the principal full-expenditure view at modest earnings sensitivities.</x:v>
      </x:c>
      <x:c r="B32" s="1234"/>
      <x:c r="C32" s="1235" t="str">
        <x:v>What is proven
The workbook arithmetic, source traceability, discount-rate structure and double-counting controls. Programme outcome effects are not proven.</x:v>
      </x:c>
      <x:c r="D32" s="1235"/>
      <x:c r="E32" s="1236" t="str">
        <x:v>What remains a scenario
Whole-cohort earnings effects, delivery costs at scale, genuine loan displacement and retained high-risk effects in the lower-cost structure.</x:v>
      </x:c>
      <x:c r="F32" s="1236"/>
      <x:c r="G32" s="1236" t="str">
        <x:v>Before national scale
Stage 0 and the pilot must establish causal outcomes, equity, implementation quality, actual costs, labour-market safety and fiscal effects.</x:v>
      </x:c>
      <x:c r="H32" s="1236"/>
      <x:c r="I32" s="1235" t="str">
        <x:v>Detailed model
The alternative participant-transfer calculation is retained in the detailed model as a provisional, non-Treasury-confirmed methodology.</x:v>
      </x:c>
      <x:c r="J32" s="1235"/>
    </x:row>
    <x:row r="33" ht="42" customHeight="1">
      <x:c r="A33" s="1234"/>
      <x:c r="B33" s="1234"/>
      <x:c r="C33" s="1235"/>
      <x:c r="D33" s="1235"/>
      <x:c r="E33" s="1236"/>
      <x:c r="F33" s="1236"/>
      <x:c r="G33" s="1236"/>
      <x:c r="H33" s="1236"/>
      <x:c r="I33" s="1235"/>
      <x:c r="J33" s="1235"/>
    </x:row>
    <x:row r="34">
      <x:c r="A34" s="1217"/>
      <x:c r="B34" s="1217"/>
      <x:c r="C34" s="1217"/>
      <x:c r="D34" s="1217"/>
      <x:c r="E34" s="1217"/>
      <x:c r="F34" s="1217"/>
      <x:c r="G34" s="1217"/>
      <x:c r="H34" s="1217"/>
      <x:c r="I34" s="1217"/>
      <x:c r="J34" s="1217"/>
    </x:row>
    <x:row r="35" ht="54" customHeight="1">
      <x:c r="A35" s="1395" t="str">
        <x:v>LOWER-COST STRUCTURAL SCENARIO — The universal-core plus targeted-accelerator scenario is financially promising because it assumes substantially lower universal cost while retaining strong high-risk effects through targeted support. That retained effect has not been demonstrated and must be tested at 25%, 50%, 75% and 100%.</x:v>
      </x:c>
      <x:c r="B35" s="1395"/>
      <x:c r="C35" s="1395"/>
      <x:c r="D35" s="1395"/>
      <x:c r="E35" s="1395"/>
      <x:c r="F35" s="1395"/>
      <x:c r="G35" s="1395"/>
      <x:c r="H35" s="1395"/>
      <x:c r="I35" s="1395"/>
      <x:c r="J35" s="1395"/>
    </x:row>
    <x:row r="36" ht="12" customHeight="1">
      <x:c r="A36" s="1237"/>
      <x:c r="B36" s="1237"/>
      <x:c r="C36" s="1237"/>
      <x:c r="D36" s="1237"/>
      <x:c r="E36" s="1237"/>
      <x:c r="F36" s="1237"/>
      <x:c r="G36" s="1237"/>
      <x:c r="H36" s="1237"/>
      <x:c r="I36" s="1237"/>
      <x:c r="J36" s="1237"/>
    </x:row>
    <x:row r="37" ht="12" customHeight="1">
      <x:c r="A37" s="1237"/>
      <x:c r="B37" s="1237"/>
      <x:c r="C37" s="1237"/>
      <x:c r="D37" s="1237"/>
      <x:c r="E37" s="1237"/>
      <x:c r="F37" s="1237"/>
      <x:c r="G37" s="1237"/>
      <x:c r="H37" s="1237"/>
      <x:c r="I37" s="1237"/>
      <x:c r="J37" s="1237"/>
    </x:row>
  </x:sheetData>
  <x:mergeCells>
    <x:mergeCell ref="A1:J1"/>
    <x:mergeCell ref="A2:J2"/>
    <x:mergeCell ref="A4:J5"/>
    <x:mergeCell ref="A7:J7"/>
    <x:mergeCell ref="A13:J13"/>
    <x:mergeCell ref="A14:B15"/>
    <x:mergeCell ref="C14:D15"/>
    <x:mergeCell ref="E14:F15"/>
    <x:mergeCell ref="G14:H15"/>
    <x:mergeCell ref="I14:J15"/>
    <x:mergeCell ref="A16:J17"/>
    <x:mergeCell ref="A19:J19"/>
    <x:mergeCell ref="A22:J23"/>
    <x:mergeCell ref="A25:J25"/>
    <x:mergeCell ref="A31:J31"/>
    <x:mergeCell ref="A32:B33"/>
    <x:mergeCell ref="C32:D33"/>
    <x:mergeCell ref="E32:F33"/>
    <x:mergeCell ref="G32:H33"/>
    <x:mergeCell ref="I32:J33"/>
    <x:mergeCell ref="A35:J35"/>
  </x:mergeCells>
  <x:pageMargins left="0.7" right="0.7" top="0.75" bottom="0.75" header="0.3" footer="0.3"/>
</x:worksheet>
</file>

<file path=xl/worksheets/sheet3.xml><?xml version="1.0" encoding="utf-8"?>
<x:worksheet xmlns:x="http://schemas.openxmlformats.org/spreadsheetml/2006/main">
  <x:sheetFormatPr defaultRowHeight="15"/>
  <x:cols>
    <x:col min="1" max="1" width="24" hidden="0" customWidth="1"/>
    <x:col min="2" max="2" width="45" hidden="0" customWidth="1"/>
    <x:col min="3" max="3" width="30" hidden="0" customWidth="1"/>
    <x:col min="4" max="4" width="28" hidden="0" customWidth="1"/>
    <x:col min="5" max="5" width="32" hidden="0" customWidth="1"/>
    <x:col min="6" max="6" width="36" hidden="0" customWidth="1"/>
    <x:col min="7" max="7" width="24" hidden="0" customWidth="1"/>
    <x:col min="8" max="8" width="36" hidden="0" customWidth="1"/>
  </x:cols>
  <x:sheetData>
    <x:row r="1" ht="30" customHeight="1">
      <x:c r="A1" s="533" t="str">
        <x:v>Read Me — Financial Definitions and Model Use</x:v>
      </x:c>
      <x:c r="B1" s="533"/>
      <x:c r="C1" s="533"/>
      <x:c r="D1" s="533"/>
      <x:c r="E1" s="533"/>
      <x:c r="F1" s="533"/>
      <x:c r="G1" s="533"/>
      <x:c r="H1" s="533"/>
      <x:c r="I1" s="339"/>
      <x:c r="J1" s="339"/>
      <x:c r="K1" s="339"/>
      <x:c r="L1" s="339"/>
      <x:c r="M1" s="339"/>
      <x:c r="N1" s="339"/>
      <x:c r="O1" s="339"/>
      <x:c r="P1" s="339"/>
      <x:c r="Q1" s="339"/>
      <x:c r="R1" s="339"/>
      <x:c r="S1" s="339"/>
      <x:c r="T1" s="339"/>
      <x:c r="U1" s="339"/>
      <x:c r="V1" s="339"/>
      <x:c r="W1" s="339"/>
      <x:c r="X1" s="339"/>
      <x:c r="Y1" s="339"/>
      <x:c r="Z1" s="339"/>
    </x:row>
    <x:row r="2" ht="28" customHeight="1">
      <x:c r="A2" s="537" t="str">
        <x:v>The workbook separates cash expenditure, participant financial value, Crown fiscal effects and wider social value.</x:v>
      </x:c>
      <x:c r="B2" s="537" t="str">
        <x:v>The model is designed for audit, challenge, causal testing and staged decision-making.</x:v>
      </x:c>
      <x:c r="C2" s="537" t="str">
        <x:v>The workbook separates cash expenditure, participant financial value, Crown fiscal effects and wider social value.</x:v>
      </x:c>
      <x:c r="D2" s="537" t="str">
        <x:v>The workbook separates cash expenditure, participant financial value, Crown fiscal effects and wider social value.</x:v>
      </x:c>
      <x:c r="E2" s="537" t="str">
        <x:v>The workbook separates cash expenditure, participant financial value, Crown fiscal effects and wider social value.</x:v>
      </x:c>
      <x:c r="F2" s="537" t="str">
        <x:v>The workbook separates cash expenditure, participant financial value, Crown fiscal effects and wider social value.</x:v>
      </x:c>
      <x:c r="G2" s="537" t="str">
        <x:v>The workbook separates cash expenditure, participant financial value, Crown fiscal effects and wider social value.</x:v>
      </x:c>
      <x:c r="H2" s="537" t="str">
        <x:v>The workbook separates cash expenditure, participant financial value, Crown fiscal effects and wider social value.</x:v>
      </x:c>
      <x:c r="I2" s="339"/>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527" t="str">
        <x:v>Term</x:v>
      </x:c>
      <x:c r="B4" s="527" t="str">
        <x:v>Definition</x:v>
      </x:c>
      <x:c r="C4" s="527" t="str">
        <x:v>Cash appropriation effect</x:v>
      </x:c>
      <x:c r="D4" s="527" t="str">
        <x:v>Student perspective</x:v>
      </x:c>
      <x:c r="E4" s="527" t="str">
        <x:v>Crown perspective</x:v>
      </x:c>
      <x:c r="F4" s="527" t="str">
        <x:v>Social-value treatment</x:v>
      </x:c>
      <x:c r="G4" s="527" t="str">
        <x:v>Primary sheet</x:v>
      </x:c>
      <x:c r="H4" s="527" t="str">
        <x:v>Validation need</x:v>
      </x:c>
      <x:c r="I4" s="339"/>
      <x:c r="J4" s="339"/>
      <x:c r="K4" s="339"/>
      <x:c r="L4" s="339"/>
      <x:c r="M4" s="339"/>
      <x:c r="N4" s="339"/>
      <x:c r="O4" s="339"/>
      <x:c r="P4" s="339"/>
      <x:c r="Q4" s="339"/>
      <x:c r="R4" s="339"/>
      <x:c r="S4" s="339"/>
      <x:c r="T4" s="339"/>
      <x:c r="U4" s="339"/>
      <x:c r="V4" s="339"/>
      <x:c r="W4" s="339"/>
      <x:c r="X4" s="339"/>
      <x:c r="Y4" s="339"/>
      <x:c r="Z4" s="339"/>
    </x:row>
    <x:row r="5">
      <x:c r="A5" s="498" t="str">
        <x:v>Cash appropriation</x:v>
      </x:c>
      <x:c r="B5" s="28" t="str">
        <x:v>Parliamentary authority and cash required to fund programme payments and operations.</x:v>
      </x:c>
      <x:c r="C5" s="28" t="str">
        <x:v>Full amount when expenditure occurs.</x:v>
      </x:c>
      <x:c r="D5" s="28" t="str">
        <x:v>Not a measure of personal gain.</x:v>
      </x:c>
      <x:c r="E5" s="28" t="str">
        <x:v>Direct fiscal cost.</x:v>
      </x:c>
      <x:c r="F5" s="28" t="str">
        <x:v>Cost denominator.</x:v>
      </x:c>
      <x:c r="G5" s="28" t="str">
        <x:v>Stage sheets</x:v>
      </x:c>
      <x:c r="H5" s="35" t="str">
        <x:v>Appropriation and accounting advice.</x:v>
      </x:c>
      <x:c r="I5" s="339"/>
      <x:c r="J5" s="339"/>
      <x:c r="K5" s="339"/>
      <x:c r="L5" s="339"/>
      <x:c r="M5" s="339"/>
      <x:c r="N5" s="339"/>
      <x:c r="O5" s="339"/>
      <x:c r="P5" s="339"/>
      <x:c r="Q5" s="339"/>
      <x:c r="R5" s="339"/>
      <x:c r="S5" s="339"/>
      <x:c r="T5" s="339"/>
      <x:c r="U5" s="339"/>
      <x:c r="V5" s="339"/>
      <x:c r="W5" s="339"/>
      <x:c r="X5" s="339"/>
      <x:c r="Y5" s="339"/>
      <x:c r="Z5" s="339"/>
    </x:row>
    <x:row r="6">
      <x:c r="A6" s="498" t="str">
        <x:v>Programme expenditure</x:v>
      </x:c>
      <x:c r="B6" s="28" t="str">
        <x:v>Immediate-access payments, Learning Capital deposits and operating costs.</x:v>
      </x:c>
      <x:c r="C6" s="28" t="str">
        <x:v>Included in full.</x:v>
      </x:c>
      <x:c r="D6" s="28" t="str">
        <x:v>Payments and services received.</x:v>
      </x:c>
      <x:c r="E6" s="28" t="str">
        <x:v>Direct programme cost.</x:v>
      </x:c>
      <x:c r="F6" s="28" t="str">
        <x:v>Cost denominator.</x:v>
      </x:c>
      <x:c r="G6" s="28" t="str">
        <x:v>Stage sheets</x:v>
      </x:c>
      <x:c r="H6" s="35" t="str">
        <x:v>GST and accounting treatment.</x:v>
      </x:c>
      <x:c r="I6" s="339"/>
      <x:c r="J6" s="339"/>
      <x:c r="K6" s="339"/>
      <x:c r="L6" s="339"/>
      <x:c r="M6" s="339"/>
      <x:c r="N6" s="339"/>
      <x:c r="O6" s="339"/>
      <x:c r="P6" s="339"/>
      <x:c r="Q6" s="339"/>
      <x:c r="R6" s="339"/>
      <x:c r="S6" s="339"/>
      <x:c r="T6" s="339"/>
      <x:c r="U6" s="339"/>
      <x:c r="V6" s="339"/>
      <x:c r="W6" s="339"/>
      <x:c r="X6" s="339"/>
      <x:c r="Y6" s="339"/>
      <x:c r="Z6" s="339"/>
    </x:row>
    <x:row r="7">
      <x:c r="A7" s="498" t="str">
        <x:v>Learning Capital Account</x:v>
      </x:c>
      <x:c r="B7" s="28" t="str">
        <x:v>Protected, individually attributed education capital with approved-use restrictions.</x:v>
      </x:c>
      <x:c r="C7" s="28" t="str">
        <x:v>Deposit is full expenditure.</x:v>
      </x:c>
      <x:c r="D7" s="28" t="str">
        <x:v>Protected financial resource.</x:v>
      </x:c>
      <x:c r="E7" s="28" t="str">
        <x:v>Asset/control treatment unresolved.</x:v>
      </x:c>
      <x:c r="F7" s="28" t="str">
        <x:v>Principal is not a free social benefit.</x:v>
      </x:c>
      <x:c r="G7" s="28" t="str">
        <x:v>Learning Capital &amp; ROI</x:v>
      </x:c>
      <x:c r="H7" s="35" t="str">
        <x:v>Legal and beneficial ownership.</x:v>
      </x:c>
      <x:c r="I7" s="339"/>
      <x:c r="J7" s="339"/>
      <x:c r="K7" s="339"/>
      <x:c r="L7" s="339"/>
      <x:c r="M7" s="339"/>
      <x:c r="N7" s="339"/>
      <x:c r="O7" s="339"/>
      <x:c r="P7" s="339"/>
      <x:c r="Q7" s="339"/>
      <x:c r="R7" s="339"/>
      <x:c r="S7" s="339"/>
      <x:c r="T7" s="339"/>
      <x:c r="U7" s="339"/>
      <x:c r="V7" s="339"/>
      <x:c r="W7" s="339"/>
      <x:c r="X7" s="339"/>
      <x:c r="Y7" s="339"/>
      <x:c r="Z7" s="339"/>
    </x:row>
    <x:row r="8">
      <x:c r="A8" s="498" t="str">
        <x:v>Investment return</x:v>
      </x:c>
      <x:c r="B8" s="28" t="str">
        <x:v>Market return after fees and tax drag.</x:v>
      </x:c>
      <x:c r="C8" s="28" t="str">
        <x:v>No separate appropriation unless fees are Crown-paid.</x:v>
      </x:c>
      <x:c r="D8" s="28" t="str">
        <x:v>Changes account balance.</x:v>
      </x:c>
      <x:c r="E8" s="28" t="str">
        <x:v>May change administration and asset treatment.</x:v>
      </x:c>
      <x:c r="F8" s="28" t="str">
        <x:v>Exclude as free value unless opportunity cost is addressed.</x:v>
      </x:c>
      <x:c r="G8" s="28" t="str">
        <x:v>Learning Capital &amp; ROI</x:v>
      </x:c>
      <x:c r="H8" s="35" t="str">
        <x:v>Mandate, provider, fees, tax and losses.</x:v>
      </x:c>
      <x:c r="I8" s="339"/>
      <x:c r="J8" s="339"/>
      <x:c r="K8" s="339"/>
      <x:c r="L8" s="339"/>
      <x:c r="M8" s="339"/>
      <x:c r="N8" s="339"/>
      <x:c r="O8" s="339"/>
      <x:c r="P8" s="339"/>
      <x:c r="Q8" s="339"/>
      <x:c r="R8" s="339"/>
      <x:c r="S8" s="339"/>
      <x:c r="T8" s="339"/>
      <x:c r="U8" s="339"/>
      <x:c r="V8" s="339"/>
      <x:c r="W8" s="339"/>
      <x:c r="X8" s="339"/>
      <x:c r="Y8" s="339"/>
      <x:c r="Z8" s="339"/>
    </x:row>
    <x:row r="9">
      <x:c r="A9" s="498" t="str">
        <x:v>Student debt displaced</x:v>
      </x:c>
      <x:c r="B9" s="28" t="str">
        <x:v>Borrowing that an approved withdrawal is expected to replace.</x:v>
      </x:c>
      <x:c r="C9" s="28" t="str">
        <x:v>No immediate appropriation reduction.</x:v>
      </x:c>
      <x:c r="D9" s="28" t="str">
        <x:v>Lower future debt principal.</x:v>
      </x:c>
      <x:c r="E9" s="28" t="str">
        <x:v>Reduces new lending cash but also future repayments.</x:v>
      </x:c>
      <x:c r="F9" s="28" t="str">
        <x:v>Do not add to account balance.</x:v>
      </x:c>
      <x:c r="G9" s="28" t="str">
        <x:v>Learning Capital &amp; ROI</x:v>
      </x:c>
      <x:c r="H9" s="35" t="str">
        <x:v>Counterfactual borrowing evidence.</x:v>
      </x:c>
      <x:c r="I9" s="339"/>
      <x:c r="J9" s="339"/>
      <x:c r="K9" s="339"/>
      <x:c r="L9" s="339"/>
      <x:c r="M9" s="339"/>
      <x:c r="N9" s="339"/>
      <x:c r="O9" s="339"/>
      <x:c r="P9" s="339"/>
      <x:c r="Q9" s="339"/>
      <x:c r="R9" s="339"/>
      <x:c r="S9" s="339"/>
      <x:c r="T9" s="339"/>
      <x:c r="U9" s="339"/>
      <x:c r="V9" s="339"/>
      <x:c r="W9" s="339"/>
      <x:c r="X9" s="339"/>
      <x:c r="Y9" s="339"/>
      <x:c r="Z9" s="339"/>
    </x:row>
    <x:row r="10">
      <x:c r="A10" s="498" t="str">
        <x:v>Nominal loan principal</x:v>
      </x:c>
      <x:c r="B10" s="28" t="str">
        <x:v>Face value lent and repayable.</x:v>
      </x:c>
      <x:c r="C10" s="28" t="str">
        <x:v>New lending cash flow.</x:v>
      </x:c>
      <x:c r="D10" s="28" t="str">
        <x:v>Borrower liability.</x:v>
      </x:c>
      <x:c r="E10" s="28" t="str">
        <x:v>Crown receivable before valuation.</x:v>
      </x:c>
      <x:c r="F10" s="28" t="str">
        <x:v>Not a net saving if avoided.</x:v>
      </x:c>
      <x:c r="G10" s="28" t="str">
        <x:v>Student Loan section</x:v>
      </x:c>
      <x:c r="H10" s="35" t="str">
        <x:v>StudyLink administrative data.</x:v>
      </x:c>
      <x:c r="I10" s="339"/>
      <x:c r="J10" s="339"/>
      <x:c r="K10" s="339"/>
      <x:c r="L10" s="339"/>
      <x:c r="M10" s="339"/>
      <x:c r="N10" s="339"/>
      <x:c r="O10" s="339"/>
      <x:c r="P10" s="339"/>
      <x:c r="Q10" s="339"/>
      <x:c r="R10" s="339"/>
      <x:c r="S10" s="339"/>
      <x:c r="T10" s="339"/>
      <x:c r="U10" s="339"/>
      <x:c r="V10" s="339"/>
      <x:c r="W10" s="339"/>
      <x:c r="X10" s="339"/>
      <x:c r="Y10" s="339"/>
      <x:c r="Z10" s="339"/>
    </x:row>
    <x:row r="11">
      <x:c r="A11" s="498" t="str">
        <x:v>Real purchasing power</x:v>
      </x:c>
      <x:c r="B11" s="28" t="str">
        <x:v>Nominal amount deflated by cumulative CPI.</x:v>
      </x:c>
      <x:c r="C11" s="28" t="str">
        <x:v>No separate cash flow.</x:v>
      </x:c>
      <x:c r="D11" s="28" t="str">
        <x:v>Shows what money can buy.</x:v>
      </x:c>
      <x:c r="E11" s="28" t="str">
        <x:v>Explains erosion of delayed repayments.</x:v>
      </x:c>
      <x:c r="F11" s="28" t="str">
        <x:v>Alternative view only.</x:v>
      </x:c>
      <x:c r="G11" s="28" t="str">
        <x:v>Learning Capital &amp; ROI</x:v>
      </x:c>
      <x:c r="H11" s="35" t="str">
        <x:v>Treasury CPI curve.</x:v>
      </x:c>
      <x:c r="I11" s="339"/>
      <x:c r="J11" s="339"/>
      <x:c r="K11" s="339"/>
      <x:c r="L11" s="339"/>
      <x:c r="M11" s="339"/>
      <x:c r="N11" s="339"/>
      <x:c r="O11" s="339"/>
      <x:c r="P11" s="339"/>
      <x:c r="Q11" s="339"/>
      <x:c r="R11" s="339"/>
      <x:c r="S11" s="339"/>
      <x:c r="T11" s="339"/>
      <x:c r="U11" s="339"/>
      <x:c r="V11" s="339"/>
      <x:c r="W11" s="339"/>
      <x:c r="X11" s="339"/>
      <x:c r="Y11" s="339"/>
      <x:c r="Z11" s="339"/>
    </x:row>
    <x:row r="12">
      <x:c r="A12" s="498" t="str">
        <x:v>Fair value</x:v>
      </x:c>
      <x:c r="B12" s="28" t="str">
        <x:v>Present economic value of expected loan repayments under the official actuarial method.</x:v>
      </x:c>
      <x:c r="C12" s="28" t="str">
        <x:v>Initial write-down recognised at origination.</x:v>
      </x:c>
      <x:c r="D12" s="28" t="str">
        <x:v>Not the borrower balance.</x:v>
      </x:c>
      <x:c r="E12" s="28" t="str">
        <x:v>Central Crown fiscal measure.</x:v>
      </x:c>
      <x:c r="F12" s="28" t="str">
        <x:v>May represent fiscal efficiency.</x:v>
      </x:c>
      <x:c r="G12" s="28" t="str">
        <x:v>Learning Capital &amp; ROI</x:v>
      </x:c>
      <x:c r="H12" s="28" t="str">
        <x:v>Official actuarial method.</x:v>
      </x:c>
      <x:c r="I12" s="339"/>
      <x:c r="J12" s="339"/>
      <x:c r="K12" s="339"/>
      <x:c r="L12" s="339"/>
      <x:c r="M12" s="339"/>
      <x:c r="N12" s="339"/>
      <x:c r="O12" s="339"/>
      <x:c r="P12" s="339"/>
      <x:c r="Q12" s="339"/>
      <x:c r="R12" s="339"/>
      <x:c r="S12" s="339"/>
      <x:c r="T12" s="339"/>
      <x:c r="U12" s="339"/>
      <x:c r="V12" s="339"/>
      <x:c r="W12" s="339"/>
      <x:c r="X12" s="339"/>
      <x:c r="Y12" s="339"/>
      <x:c r="Z12" s="339"/>
    </x:row>
    <x:row r="13">
      <x:c r="A13" s="498" t="str">
        <x:v>Cost of capital</x:v>
      </x:c>
      <x:c r="B13" s="28" t="str">
        <x:v>Annual resource cost of capital committed to the student-loan asset.</x:v>
      </x:c>
      <x:c r="C13" s="28" t="str">
        <x:v>Not a separate programme appropriation.</x:v>
      </x:c>
      <x:c r="D13" s="28" t="str">
        <x:v>No direct domestic-borrower charge.</x:v>
      </x:c>
      <x:c r="E13" s="28" t="str">
        <x:v>Carrying-cost perspective.</x:v>
      </x:c>
      <x:c r="F13" s="28" t="str">
        <x:v>Overlaps fair value.</x:v>
      </x:c>
      <x:c r="G13" s="28" t="str">
        <x:v>Learning Capital &amp; ROI</x:v>
      </x:c>
      <x:c r="H13" s="28" t="str">
        <x:v>Official rate and duration.</x:v>
      </x:c>
      <x:c r="I13" s="339"/>
      <x:c r="J13" s="339"/>
      <x:c r="K13" s="339"/>
      <x:c r="L13" s="339"/>
      <x:c r="M13" s="339"/>
      <x:c r="N13" s="339"/>
      <x:c r="O13" s="339"/>
      <x:c r="P13" s="339"/>
      <x:c r="Q13" s="339"/>
      <x:c r="R13" s="339"/>
      <x:c r="S13" s="339"/>
      <x:c r="T13" s="339"/>
      <x:c r="U13" s="339"/>
      <x:c r="V13" s="339"/>
      <x:c r="W13" s="339"/>
      <x:c r="X13" s="339"/>
      <x:c r="Y13" s="339"/>
      <x:c r="Z13" s="339"/>
    </x:row>
    <x:row r="14">
      <x:c r="A14" s="498" t="str">
        <x:v>Crown fiscal saving</x:v>
      </x:c>
      <x:c r="B14" s="28" t="str">
        <x:v>Official fair-value cost avoided plus valid marginal savings, less consequential fiscal costs.</x:v>
      </x:c>
      <x:c r="C14" s="28" t="str">
        <x:v>Occurs when lending is genuinely displaced.</x:v>
      </x:c>
      <x:c r="D14" s="28" t="str">
        <x:v>Indirect.</x:v>
      </x:c>
      <x:c r="E14" s="28" t="str">
        <x:v>Net fiscal offset.</x:v>
      </x:c>
      <x:c r="F14" s="28" t="str">
        <x:v>Add once only.</x:v>
      </x:c>
      <x:c r="G14" s="28" t="str">
        <x:v>Cohort Bridge</x:v>
      </x:c>
      <x:c r="H14" s="28" t="str">
        <x:v>Administration and tertiary-system costs.</x:v>
      </x:c>
      <x:c r="I14" s="339"/>
      <x:c r="J14" s="339"/>
      <x:c r="K14" s="339"/>
      <x:c r="L14" s="339"/>
      <x:c r="M14" s="339"/>
      <x:c r="N14" s="339"/>
      <x:c r="O14" s="339"/>
      <x:c r="P14" s="339"/>
      <x:c r="Q14" s="339"/>
      <x:c r="R14" s="339"/>
      <x:c r="S14" s="339"/>
      <x:c r="T14" s="339"/>
      <x:c r="U14" s="339"/>
      <x:c r="V14" s="339"/>
      <x:c r="W14" s="339"/>
      <x:c r="X14" s="339"/>
      <x:c r="Y14" s="339"/>
      <x:c r="Z14" s="339"/>
    </x:row>
    <x:row r="15">
      <x:c r="A15" s="498" t="str">
        <x:v>Wider social benefit</x:v>
      </x:c>
      <x:c r="B15" s="28" t="str">
        <x:v>Earnings, wellbeing, health, justice and other effects attributable to the programme.</x:v>
      </x:c>
      <x:c r="C15" s="28" t="str">
        <x:v>Usually not cash appropriation.</x:v>
      </x:c>
      <x:c r="D15" s="28" t="str">
        <x:v>May improve life outcomes.</x:v>
      </x:c>
      <x:c r="E15" s="28" t="str">
        <x:v>May change taxes and service costs.</x:v>
      </x:c>
      <x:c r="F15" s="28" t="str">
        <x:v>Include only with causal evidence and overlap controls.</x:v>
      </x:c>
      <x:c r="G15" s="28" t="str">
        <x:v>Benefits &amp; BCR</x:v>
      </x:c>
      <x:c r="H15" s="28" t="str">
        <x:v>Pilot outcome evidence.</x:v>
      </x:c>
      <x:c r="I15" s="339"/>
      <x:c r="J15" s="339"/>
      <x:c r="K15" s="339"/>
      <x:c r="L15" s="339"/>
      <x:c r="M15" s="339"/>
      <x:c r="N15" s="339"/>
      <x:c r="O15" s="339"/>
      <x:c r="P15" s="339"/>
      <x:c r="Q15" s="339"/>
      <x:c r="R15" s="339"/>
      <x:c r="S15" s="339"/>
      <x:c r="T15" s="339"/>
      <x:c r="U15" s="339"/>
      <x:c r="V15" s="339"/>
      <x:c r="W15" s="339"/>
      <x:c r="X15" s="339"/>
      <x:c r="Y15" s="339"/>
      <x:c r="Z15" s="339"/>
    </x:row>
    <x:row r="16">
      <x:c r="A16" s="890" t="str">
        <x:v>Whole-cohort capability</x:v>
      </x:c>
      <x:c r="B16" s="28" t="str">
        <x:v>Attendance, attainment, transition, completion and employment effects across the participating population.</x:v>
      </x:c>
      <x:c r="C16" s="28" t="str">
        <x:v>No automatic cash reduction.</x:v>
      </x:c>
      <x:c r="D16" s="28" t="str">
        <x:v>Potential education and earnings gain.</x:v>
      </x:c>
      <x:c r="E16" s="28" t="str">
        <x:v>Potential tax and benefit effects.</x:v>
      </x:c>
      <x:c r="F16" s="28" t="str">
        <x:v>Monetise only through non-overlapping earnings or supported wellbeing channels.</x:v>
      </x:c>
      <x:c r="G16" s="28" t="str">
        <x:v>Human Capital &amp; Earnings</x:v>
      </x:c>
      <x:c r="H16" s="28" t="str">
        <x:v>Pilot causal evidence.</x:v>
      </x:c>
      <x:c r="I16" s="339"/>
      <x:c r="J16" s="339"/>
      <x:c r="K16" s="339"/>
      <x:c r="L16" s="339"/>
      <x:c r="M16" s="339"/>
      <x:c r="N16" s="339"/>
      <x:c r="O16" s="339"/>
      <x:c r="P16" s="339"/>
      <x:c r="Q16" s="339"/>
      <x:c r="R16" s="339"/>
      <x:c r="S16" s="339"/>
      <x:c r="T16" s="339"/>
      <x:c r="U16" s="339"/>
      <x:c r="V16" s="339"/>
      <x:c r="W16" s="339"/>
      <x:c r="X16" s="339"/>
      <x:c r="Y16" s="339"/>
      <x:c r="Z16" s="339"/>
    </x:row>
    <x:row r="17">
      <x:c r="A17" s="890" t="str">
        <x:v>High-risk outcome</x:v>
      </x:c>
      <x:c r="B17" s="28" t="str">
        <x:v>Sustained NEET and concentrated disengagement outcomes.</x:v>
      </x:c>
      <x:c r="C17" s="28" t="str">
        <x:v>No automatic cash reduction.</x:v>
      </x:c>
      <x:c r="D17" s="28" t="str">
        <x:v>Avoided severe negative outcome.</x:v>
      </x:c>
      <x:c r="E17" s="28" t="str">
        <x:v>Potential welfare and fiscal effect.</x:v>
      </x:c>
      <x:c r="F17" s="28" t="str">
        <x:v>Pacheco and Dye stream.</x:v>
      </x:c>
      <x:c r="G17" s="28" t="str">
        <x:v>Benefits &amp; BCR</x:v>
      </x:c>
      <x:c r="H17" s="28" t="str">
        <x:v>Target-group causal evidence.</x:v>
      </x:c>
      <x:c r="I17" s="339"/>
      <x:c r="J17" s="339"/>
      <x:c r="K17" s="339"/>
      <x:c r="L17" s="339"/>
      <x:c r="M17" s="339"/>
      <x:c r="N17" s="339"/>
      <x:c r="O17" s="339"/>
      <x:c r="P17" s="339"/>
      <x:c r="Q17" s="339"/>
      <x:c r="R17" s="339"/>
      <x:c r="S17" s="339"/>
      <x:c r="T17" s="339"/>
      <x:c r="U17" s="339"/>
      <x:c r="V17" s="339"/>
      <x:c r="W17" s="339"/>
      <x:c r="X17" s="339"/>
      <x:c r="Y17" s="339"/>
      <x:c r="Z17" s="339"/>
    </x:row>
    <x:row r="18">
      <x:c r="A18" s="890" t="str">
        <x:v>Affected share</x:v>
      </x:c>
      <x:c r="B18" s="28" t="str">
        <x:v>Proportion of the eligible broad cohort receiving an attributable earnings effect.</x:v>
      </x:c>
      <x:c r="C18" s="28" t="str">
        <x:v>No cash effect.</x:v>
      </x:c>
      <x:c r="D18" s="28" t="str">
        <x:v>Prevents assuming everybody benefits.</x:v>
      </x:c>
      <x:c r="E18" s="28" t="str">
        <x:v>Determines fiscal scale.</x:v>
      </x:c>
      <x:c r="F18" s="28" t="str">
        <x:v>Core sensitivity control.</x:v>
      </x:c>
      <x:c r="G18" s="28" t="str">
        <x:v>Human Capital &amp; Earnings</x:v>
      </x:c>
      <x:c r="H18" s="28" t="str">
        <x:v>Pilot distribution of effects.</x:v>
      </x:c>
      <x:c r="I18" s="339"/>
      <x:c r="J18" s="339"/>
      <x:c r="K18" s="339"/>
      <x:c r="L18" s="339"/>
      <x:c r="M18" s="339"/>
      <x:c r="N18" s="339"/>
      <x:c r="O18" s="339"/>
      <x:c r="P18" s="339"/>
      <x:c r="Q18" s="339"/>
      <x:c r="R18" s="339"/>
      <x:c r="S18" s="339"/>
      <x:c r="T18" s="339"/>
      <x:c r="U18" s="339"/>
      <x:c r="V18" s="339"/>
      <x:c r="W18" s="339"/>
      <x:c r="X18" s="339"/>
      <x:c r="Y18" s="339"/>
      <x:c r="Z18" s="339"/>
    </x:row>
    <x:row r="19">
      <x:c r="A19" s="890" t="str">
        <x:v>Attribution</x:v>
      </x:c>
      <x:c r="B19" s="28" t="str">
        <x:v>Share of an observed change caused by the programme.</x:v>
      </x:c>
      <x:c r="C19" s="28" t="str">
        <x:v>No cash effect.</x:v>
      </x:c>
      <x:c r="D19" s="28" t="str">
        <x:v>Causal discipline.</x:v>
      </x:c>
      <x:c r="E19" s="28" t="str">
        <x:v>Causal discipline.</x:v>
      </x:c>
      <x:c r="F19" s="28" t="str">
        <x:v>Required before monetisation.</x:v>
      </x:c>
      <x:c r="G19" s="28" t="str">
        <x:v>Assumptions</x:v>
      </x:c>
      <x:c r="H19" s="28" t="str">
        <x:v>Independent evaluation.</x:v>
      </x:c>
      <x:c r="I19" s="339"/>
      <x:c r="J19" s="339"/>
      <x:c r="K19" s="339"/>
      <x:c r="L19" s="339"/>
      <x:c r="M19" s="339"/>
      <x:c r="N19" s="339"/>
      <x:c r="O19" s="339"/>
      <x:c r="P19" s="339"/>
      <x:c r="Q19" s="339"/>
      <x:c r="R19" s="339"/>
      <x:c r="S19" s="339"/>
      <x:c r="T19" s="339"/>
      <x:c r="U19" s="339"/>
      <x:c r="V19" s="339"/>
      <x:c r="W19" s="339"/>
      <x:c r="X19" s="339"/>
      <x:c r="Y19" s="339"/>
      <x:c r="Z19" s="339"/>
    </x:row>
    <x:row r="20">
      <x:c r="A20" s="890" t="str">
        <x:v>Deadweight</x:v>
      </x:c>
      <x:c r="B20" s="28" t="str">
        <x:v>Outcomes that would have occurred without the programme.</x:v>
      </x:c>
      <x:c r="C20" s="28" t="str">
        <x:v>No cash effect.</x:v>
      </x:c>
      <x:c r="D20" s="28" t="str">
        <x:v>Not additional.</x:v>
      </x:c>
      <x:c r="E20" s="28" t="str">
        <x:v>Not additional.</x:v>
      </x:c>
      <x:c r="F20" s="28" t="str">
        <x:v>Deducted from benefits.</x:v>
      </x:c>
      <x:c r="G20" s="28" t="str">
        <x:v>Human Capital &amp; Earnings</x:v>
      </x:c>
      <x:c r="H20" s="28" t="str">
        <x:v>Counterfactual design.</x:v>
      </x:c>
      <x:c r="I20" s="339"/>
      <x:c r="J20" s="339"/>
      <x:c r="K20" s="339"/>
      <x:c r="L20" s="339"/>
      <x:c r="M20" s="339"/>
      <x:c r="N20" s="339"/>
      <x:c r="O20" s="339"/>
      <x:c r="P20" s="339"/>
      <x:c r="Q20" s="339"/>
      <x:c r="R20" s="339"/>
      <x:c r="S20" s="339"/>
      <x:c r="T20" s="339"/>
      <x:c r="U20" s="339"/>
      <x:c r="V20" s="339"/>
      <x:c r="W20" s="339"/>
      <x:c r="X20" s="339"/>
      <x:c r="Y20" s="339"/>
      <x:c r="Z20" s="339"/>
    </x:row>
    <x:row r="21">
      <x:c r="A21" s="890" t="str">
        <x:v>Displacement</x:v>
      </x:c>
      <x:c r="B21" s="28" t="str">
        <x:v>Programme participants replacing other workers or activity.</x:v>
      </x:c>
      <x:c r="C21" s="28" t="str">
        <x:v>No cash effect.</x:v>
      </x:c>
      <x:c r="D21" s="28" t="str">
        <x:v>May reduce net opportunity.</x:v>
      </x:c>
      <x:c r="E21" s="28" t="str">
        <x:v>May reduce tax additionality.</x:v>
      </x:c>
      <x:c r="F21" s="28" t="str">
        <x:v>Deducted from benefits.</x:v>
      </x:c>
      <x:c r="G21" s="28" t="str">
        <x:v>Human Capital &amp; Earnings</x:v>
      </x:c>
      <x:c r="H21" s="28" t="str">
        <x:v>Labour-market evidence.</x:v>
      </x:c>
      <x:c r="I21" s="339"/>
      <x:c r="J21" s="339"/>
      <x:c r="K21" s="339"/>
      <x:c r="L21" s="339"/>
      <x:c r="M21" s="339"/>
      <x:c r="N21" s="339"/>
      <x:c r="O21" s="339"/>
      <x:c r="P21" s="339"/>
      <x:c r="Q21" s="339"/>
      <x:c r="R21" s="339"/>
      <x:c r="S21" s="339"/>
      <x:c r="T21" s="339"/>
      <x:c r="U21" s="339"/>
      <x:c r="V21" s="339"/>
      <x:c r="W21" s="339"/>
      <x:c r="X21" s="339"/>
      <x:c r="Y21" s="339"/>
      <x:c r="Z21" s="339"/>
    </x:row>
    <x:row r="22">
      <x:c r="A22" s="890" t="str">
        <x:v>General-equilibrium haircut</x:v>
      </x:c>
      <x:c r="B22" s="28" t="str">
        <x:v>Adjustment for oversupply, wage suppression, credential inflation, automation and capacity constraints.</x:v>
      </x:c>
      <x:c r="C22" s="28" t="str">
        <x:v>No cash effect.</x:v>
      </x:c>
      <x:c r="D22" s="28" t="str">
        <x:v>May reduce job quality.</x:v>
      </x:c>
      <x:c r="E22" s="28" t="str">
        <x:v>May reduce fiscal return.</x:v>
      </x:c>
      <x:c r="F22" s="28" t="str">
        <x:v>Deducted from benefits.</x:v>
      </x:c>
      <x:c r="G22" s="28" t="str">
        <x:v>Human Capital &amp; Earnings</x:v>
      </x:c>
      <x:c r="H22" s="28" t="str">
        <x:v>Independent forecasting.</x:v>
      </x:c>
      <x:c r="I22" s="339"/>
      <x:c r="J22" s="339"/>
      <x:c r="K22" s="339"/>
      <x:c r="L22" s="339"/>
      <x:c r="M22" s="339"/>
      <x:c r="N22" s="339"/>
      <x:c r="O22" s="339"/>
      <x:c r="P22" s="339"/>
      <x:c r="Q22" s="339"/>
      <x:c r="R22" s="339"/>
      <x:c r="S22" s="339"/>
      <x:c r="T22" s="339"/>
      <x:c r="U22" s="339"/>
      <x:c r="V22" s="339"/>
      <x:c r="W22" s="339"/>
      <x:c r="X22" s="339"/>
      <x:c r="Y22" s="339"/>
      <x:c r="Z22" s="339"/>
    </x:row>
    <x:row r="23">
      <x:c r="A23" s="890" t="str">
        <x:v>Social break-even uplift</x:v>
      </x:c>
      <x:c r="B23" s="28" t="str">
        <x:v>Average persistent earnings uplift needed for social benefits to equal economic cost.</x:v>
      </x:c>
      <x:c r="C23" s="28" t="str">
        <x:v>No cash effect.</x:v>
      </x:c>
      <x:c r="D23" s="28" t="str">
        <x:v>Social value test.</x:v>
      </x:c>
      <x:c r="E23" s="28" t="str">
        <x:v>Not a fiscal return test.</x:v>
      </x:c>
      <x:c r="F23" s="28" t="str">
        <x:v>May become positive before Crown return.</x:v>
      </x:c>
      <x:c r="G23" s="28" t="str">
        <x:v>Human Capital &amp; Earnings</x:v>
      </x:c>
      <x:c r="H23" s="28" t="str">
        <x:v>Causal earnings evidence.</x:v>
      </x:c>
      <x:c r="I23" s="339"/>
      <x:c r="J23" s="339"/>
      <x:c r="K23" s="339"/>
      <x:c r="L23" s="339"/>
      <x:c r="M23" s="339"/>
      <x:c r="N23" s="339"/>
      <x:c r="O23" s="339"/>
      <x:c r="P23" s="339"/>
      <x:c r="Q23" s="339"/>
      <x:c r="R23" s="339"/>
      <x:c r="S23" s="339"/>
      <x:c r="T23" s="339"/>
      <x:c r="U23" s="339"/>
      <x:c r="V23" s="339"/>
      <x:c r="W23" s="339"/>
      <x:c r="X23" s="339"/>
      <x:c r="Y23" s="339"/>
      <x:c r="Z23" s="339"/>
    </x:row>
    <x:row r="24">
      <x:c r="A24" s="890" t="str">
        <x:v>Crown fiscal break-even uplift</x:v>
      </x:c>
      <x:c r="B24" s="28" t="str">
        <x:v>Earnings uplift needed for tax, ACC and valid fiscal offsets to cover net Crown expenditure.</x:v>
      </x:c>
      <x:c r="C24" s="28" t="str">
        <x:v>Direct fiscal test.</x:v>
      </x:c>
      <x:c r="D24" s="28" t="str">
        <x:v>Not the participant return.</x:v>
      </x:c>
      <x:c r="E24" s="28" t="str">
        <x:v>Crown affordability test.</x:v>
      </x:c>
      <x:c r="F24" s="28" t="str">
        <x:v>Gross earnings are excluded.</x:v>
      </x:c>
      <x:c r="G24" s="28" t="str">
        <x:v>Human Capital &amp; Earnings</x:v>
      </x:c>
      <x:c r="H24" s="28" t="str">
        <x:v>Tax, benefit and loan evidence.</x:v>
      </x:c>
      <x:c r="I24" s="339"/>
      <x:c r="J24" s="339"/>
      <x:c r="K24" s="339"/>
      <x:c r="L24" s="339"/>
      <x:c r="M24" s="339"/>
      <x:c r="N24" s="339"/>
      <x:c r="O24" s="339"/>
      <x:c r="P24" s="339"/>
      <x:c r="Q24" s="339"/>
      <x:c r="R24" s="339"/>
      <x:c r="S24" s="339"/>
      <x:c r="T24" s="339"/>
      <x:c r="U24" s="339"/>
      <x:c r="V24" s="339"/>
      <x:c r="W24" s="339"/>
      <x:c r="X24" s="339"/>
      <x:c r="Y24" s="339"/>
      <x:c r="Z24" s="339"/>
    </x:row>
    <x:row r="25">
      <x:c r="A25" s="890" t="str">
        <x:v>Committed co-investment</x:v>
      </x:c>
      <x:c r="B25" s="28" t="str">
        <x:v>Signed pooled third-party contribution subject to governance safeguards.</x:v>
      </x:c>
      <x:c r="C25" s="28" t="str">
        <x:v>Reduces Crown cash cost when received.</x:v>
      </x:c>
      <x:c r="D25" s="28" t="str">
        <x:v>Must not constrain career choice.</x:v>
      </x:c>
      <x:c r="E25" s="28" t="str">
        <x:v>Valid funding offset when committed.</x:v>
      </x:c>
      <x:c r="F25" s="28" t="str">
        <x:v>Does not reduce total social resource cost.</x:v>
      </x:c>
      <x:c r="G25" s="28" t="str">
        <x:v>Delivery Scenarios</x:v>
      </x:c>
      <x:c r="H25" s="28" t="str">
        <x:v>Signed agreement.</x:v>
      </x:c>
      <x:c r="I25" s="339"/>
      <x:c r="J25" s="339"/>
      <x:c r="K25" s="339"/>
      <x:c r="L25" s="339"/>
      <x:c r="M25" s="339"/>
      <x:c r="N25" s="339"/>
      <x:c r="O25" s="339"/>
      <x:c r="P25" s="339"/>
      <x:c r="Q25" s="339"/>
      <x:c r="R25" s="339"/>
      <x:c r="S25" s="339"/>
      <x:c r="T25" s="339"/>
      <x:c r="U25" s="339"/>
      <x:c r="V25" s="339"/>
      <x:c r="W25" s="339"/>
      <x:c r="X25" s="339"/>
      <x:c r="Y25" s="339"/>
      <x:c r="Z25" s="339"/>
    </x:row>
    <x:row r="26">
      <x:c r="A26" s="339"/>
      <x:c r="B26" s="339"/>
      <x:c r="C26" s="339"/>
      <x:c r="D26" s="339"/>
      <x:c r="E26" s="339"/>
      <x:c r="F26" s="339"/>
      <x:c r="G26" s="339"/>
      <x:c r="H26" s="339"/>
      <x:c r="I26" s="339"/>
      <x:c r="J26" s="339"/>
      <x:c r="K26" s="339"/>
      <x:c r="L26" s="339"/>
      <x:c r="M26" s="339"/>
      <x:c r="N26" s="339"/>
      <x:c r="O26" s="339"/>
      <x:c r="P26" s="339"/>
      <x:c r="Q26" s="339"/>
      <x:c r="R26" s="339"/>
      <x:c r="S26" s="339"/>
      <x:c r="T26" s="339"/>
      <x:c r="U26" s="339"/>
      <x:c r="V26" s="339"/>
      <x:c r="W26" s="339"/>
      <x:c r="X26" s="339"/>
      <x:c r="Y26" s="339"/>
      <x:c r="Z26" s="339"/>
    </x:row>
    <x:row r="27">
      <x:c r="A27" s="339"/>
      <x:c r="B27" s="339"/>
      <x:c r="C27" s="339"/>
      <x:c r="D27" s="339"/>
      <x:c r="E27" s="339"/>
      <x:c r="F27" s="339"/>
      <x:c r="G27" s="339"/>
      <x:c r="H27" s="339"/>
      <x:c r="I27" s="339"/>
      <x:c r="J27" s="339"/>
      <x:c r="K27" s="339"/>
      <x:c r="L27" s="339"/>
      <x:c r="M27" s="339"/>
      <x:c r="N27" s="339"/>
      <x:c r="O27" s="339"/>
      <x:c r="P27" s="339"/>
      <x:c r="Q27" s="339"/>
      <x:c r="R27" s="339"/>
      <x:c r="S27" s="339"/>
      <x:c r="T27" s="339"/>
      <x:c r="U27" s="339"/>
      <x:c r="V27" s="339"/>
      <x:c r="W27" s="339"/>
      <x:c r="X27" s="339"/>
      <x:c r="Y27" s="339"/>
      <x:c r="Z27" s="339"/>
    </x:row>
    <x:row r="28">
      <x:c r="A28" s="339"/>
      <x:c r="B28" s="339"/>
      <x:c r="C28" s="339"/>
      <x:c r="D28" s="339"/>
      <x:c r="E28" s="339"/>
      <x:c r="F28" s="339"/>
      <x:c r="G28" s="339"/>
      <x:c r="H28" s="339"/>
      <x:c r="I28" s="339"/>
      <x:c r="J28" s="339"/>
      <x:c r="K28" s="339"/>
      <x:c r="L28" s="339"/>
      <x:c r="M28" s="339"/>
      <x:c r="N28" s="339"/>
      <x:c r="O28" s="339"/>
      <x:c r="P28" s="339"/>
      <x:c r="Q28" s="339"/>
      <x:c r="R28" s="339"/>
      <x:c r="S28" s="339"/>
      <x:c r="T28" s="339"/>
      <x:c r="U28" s="339"/>
      <x:c r="V28" s="339"/>
      <x:c r="W28" s="339"/>
      <x:c r="X28" s="339"/>
      <x:c r="Y28" s="339"/>
      <x:c r="Z28" s="339"/>
    </x:row>
    <x:row r="29">
      <x:c r="A29" s="339"/>
      <x:c r="B29" s="339"/>
      <x:c r="C29" s="339"/>
      <x:c r="D29" s="339"/>
      <x:c r="E29" s="339"/>
      <x:c r="F29" s="339"/>
      <x:c r="G29" s="339"/>
      <x:c r="H29" s="339"/>
      <x:c r="I29" s="339"/>
      <x:c r="J29" s="339"/>
      <x:c r="K29" s="339"/>
      <x:c r="L29" s="339"/>
      <x:c r="M29" s="339"/>
      <x:c r="N29" s="339"/>
      <x:c r="O29" s="339"/>
      <x:c r="P29" s="339"/>
      <x:c r="Q29" s="339"/>
      <x:c r="R29" s="339"/>
      <x:c r="S29" s="339"/>
      <x:c r="T29" s="339"/>
      <x:c r="U29" s="339"/>
      <x:c r="V29" s="339"/>
      <x:c r="W29" s="339"/>
      <x:c r="X29" s="339"/>
      <x:c r="Y29" s="339"/>
      <x:c r="Z29" s="339"/>
    </x:row>
    <x:row r="30">
      <x:c r="A30" s="339"/>
      <x:c r="B30" s="339"/>
      <x:c r="C30" s="339"/>
      <x:c r="D30" s="339"/>
      <x:c r="E30" s="339"/>
      <x:c r="F30" s="339"/>
      <x:c r="G30" s="339"/>
      <x:c r="H30" s="339"/>
      <x:c r="I30" s="339"/>
      <x:c r="J30" s="339"/>
      <x:c r="K30" s="339"/>
      <x:c r="L30" s="339"/>
      <x:c r="M30" s="339"/>
      <x:c r="N30" s="339"/>
      <x:c r="O30" s="339"/>
      <x:c r="P30" s="339"/>
      <x:c r="Q30" s="339"/>
      <x:c r="R30" s="339"/>
      <x:c r="S30" s="339"/>
      <x:c r="T30" s="339"/>
      <x:c r="U30" s="339"/>
      <x:c r="V30" s="339"/>
      <x:c r="W30" s="339"/>
      <x:c r="X30" s="339"/>
      <x:c r="Y30" s="339"/>
      <x:c r="Z30" s="339"/>
    </x:row>
    <x:row r="31">
      <x:c r="A31" s="339"/>
      <x:c r="B31" s="339"/>
      <x:c r="C31" s="339"/>
      <x:c r="D31" s="339"/>
      <x:c r="E31" s="339"/>
      <x:c r="F31" s="339"/>
      <x:c r="G31" s="339"/>
      <x:c r="H31" s="339"/>
      <x:c r="I31" s="339"/>
      <x:c r="J31" s="339"/>
      <x:c r="K31" s="339"/>
      <x:c r="L31" s="339"/>
      <x:c r="M31" s="339"/>
      <x:c r="N31" s="339"/>
      <x:c r="O31" s="339"/>
      <x:c r="P31" s="339"/>
      <x:c r="Q31" s="339"/>
      <x:c r="R31" s="339"/>
      <x:c r="S31" s="339"/>
      <x:c r="T31" s="339"/>
      <x:c r="U31" s="339"/>
      <x:c r="V31" s="339"/>
      <x:c r="W31" s="339"/>
      <x:c r="X31" s="339"/>
      <x:c r="Y31" s="339"/>
      <x:c r="Z31" s="339"/>
    </x:row>
    <x:row r="32">
      <x:c r="A32" s="339"/>
      <x:c r="B32" s="339"/>
      <x:c r="C32" s="339"/>
      <x:c r="D32" s="339"/>
      <x:c r="E32" s="339"/>
      <x:c r="F32" s="339"/>
      <x:c r="G32" s="339"/>
      <x:c r="H32" s="339"/>
      <x:c r="I32" s="339"/>
      <x:c r="J32" s="339"/>
      <x:c r="K32" s="339"/>
      <x:c r="L32" s="339"/>
      <x:c r="M32" s="339"/>
      <x:c r="N32" s="339"/>
      <x:c r="O32" s="339"/>
      <x:c r="P32" s="339"/>
      <x:c r="Q32" s="339"/>
      <x:c r="R32" s="339"/>
      <x:c r="S32" s="339"/>
      <x:c r="T32" s="339"/>
      <x:c r="U32" s="339"/>
      <x:c r="V32" s="339"/>
      <x:c r="W32" s="339"/>
      <x:c r="X32" s="339"/>
      <x:c r="Y32" s="339"/>
      <x:c r="Z32" s="339"/>
    </x:row>
    <x:row r="33">
      <x:c r="A33" s="339"/>
      <x:c r="B33" s="339"/>
      <x:c r="C33" s="339"/>
      <x:c r="D33" s="339"/>
      <x:c r="E33" s="339"/>
      <x:c r="F33" s="339"/>
      <x:c r="G33" s="339"/>
      <x:c r="H33" s="339"/>
      <x:c r="I33" s="339"/>
      <x:c r="J33" s="339"/>
      <x:c r="K33" s="339"/>
      <x:c r="L33" s="339"/>
      <x:c r="M33" s="339"/>
      <x:c r="N33" s="339"/>
      <x:c r="O33" s="339"/>
      <x:c r="P33" s="339"/>
      <x:c r="Q33" s="339"/>
      <x:c r="R33" s="339"/>
      <x:c r="S33" s="339"/>
      <x:c r="T33" s="339"/>
      <x:c r="U33" s="339"/>
      <x:c r="V33" s="339"/>
      <x:c r="W33" s="339"/>
      <x:c r="X33" s="339"/>
      <x:c r="Y33" s="339"/>
      <x:c r="Z33" s="339"/>
    </x:row>
    <x:row r="34">
      <x:c r="A34" s="339"/>
      <x:c r="B34" s="339"/>
      <x:c r="C34" s="339"/>
      <x:c r="D34" s="339"/>
      <x:c r="E34" s="339"/>
      <x:c r="F34" s="339"/>
      <x:c r="G34" s="339"/>
      <x:c r="H34" s="339"/>
      <x:c r="I34" s="339"/>
      <x:c r="J34" s="339"/>
      <x:c r="K34" s="339"/>
      <x:c r="L34" s="339"/>
      <x:c r="M34" s="339"/>
      <x:c r="N34" s="339"/>
      <x:c r="O34" s="339"/>
      <x:c r="P34" s="339"/>
      <x:c r="Q34" s="339"/>
      <x:c r="R34" s="339"/>
      <x:c r="S34" s="339"/>
      <x:c r="T34" s="339"/>
      <x:c r="U34" s="339"/>
      <x:c r="V34" s="339"/>
      <x:c r="W34" s="339"/>
      <x:c r="X34" s="339"/>
      <x:c r="Y34" s="339"/>
      <x:c r="Z34" s="339"/>
    </x:row>
    <x:row r="35">
      <x:c r="A35" s="339"/>
      <x:c r="B35" s="339"/>
      <x:c r="C35" s="339"/>
      <x:c r="D35" s="339"/>
      <x:c r="E35" s="339"/>
      <x:c r="F35" s="339"/>
      <x:c r="G35" s="339"/>
      <x:c r="H35" s="339"/>
      <x:c r="I35" s="339"/>
      <x:c r="J35" s="339"/>
      <x:c r="K35" s="339"/>
      <x:c r="L35" s="339"/>
      <x:c r="M35" s="339"/>
      <x:c r="N35" s="339"/>
      <x:c r="O35" s="339"/>
      <x:c r="P35" s="339"/>
      <x:c r="Q35" s="339"/>
      <x:c r="R35" s="339"/>
      <x:c r="S35" s="339"/>
      <x:c r="T35" s="339"/>
      <x:c r="U35" s="339"/>
      <x:c r="V35" s="339"/>
      <x:c r="W35" s="339"/>
      <x:c r="X35" s="339"/>
      <x:c r="Y35" s="339"/>
      <x:c r="Z35" s="339"/>
    </x:row>
    <x:row r="36">
      <x:c r="A36" s="339"/>
      <x:c r="B36" s="339"/>
      <x:c r="C36" s="339"/>
      <x:c r="D36" s="339"/>
      <x:c r="E36" s="339"/>
      <x:c r="F36" s="339"/>
      <x:c r="G36" s="339"/>
      <x:c r="H36" s="339"/>
      <x:c r="I36" s="339"/>
      <x:c r="J36" s="339"/>
      <x:c r="K36" s="339"/>
      <x:c r="L36" s="339"/>
      <x:c r="M36" s="339"/>
      <x:c r="N36" s="339"/>
      <x:c r="O36" s="339"/>
      <x:c r="P36" s="339"/>
      <x:c r="Q36" s="339"/>
      <x:c r="R36" s="339"/>
      <x:c r="S36" s="339"/>
      <x:c r="T36" s="339"/>
      <x:c r="U36" s="339"/>
      <x:c r="V36" s="339"/>
      <x:c r="W36" s="339"/>
      <x:c r="X36" s="339"/>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339"/>
      <x:c r="V37" s="339"/>
      <x:c r="W37" s="339"/>
      <x:c r="X37" s="339"/>
      <x:c r="Y37" s="339"/>
      <x:c r="Z37" s="339"/>
    </x:row>
    <x:row r="38">
      <x:c r="A38" s="339"/>
      <x:c r="B38" s="339"/>
      <x:c r="C38" s="339"/>
      <x:c r="D38" s="339"/>
      <x:c r="E38" s="339"/>
      <x:c r="F38" s="339"/>
      <x:c r="G38" s="339"/>
      <x:c r="H38" s="339"/>
      <x:c r="I38" s="339"/>
      <x:c r="J38" s="339"/>
      <x:c r="K38" s="339"/>
      <x:c r="L38" s="339"/>
      <x:c r="M38" s="339"/>
      <x:c r="N38" s="339"/>
      <x:c r="O38" s="339"/>
      <x:c r="P38" s="339"/>
      <x:c r="Q38" s="339"/>
      <x:c r="R38" s="339"/>
      <x:c r="S38" s="339"/>
      <x:c r="T38" s="339"/>
      <x:c r="U38" s="339"/>
      <x:c r="V38" s="339"/>
      <x:c r="W38" s="339"/>
      <x:c r="X38" s="339"/>
      <x:c r="Y38" s="339"/>
      <x:c r="Z38" s="339"/>
    </x:row>
    <x:row r="39">
      <x:c r="A39" s="339"/>
      <x:c r="B39" s="339"/>
      <x:c r="C39" s="339"/>
      <x:c r="D39" s="339"/>
      <x:c r="E39" s="339"/>
      <x:c r="F39" s="339"/>
      <x:c r="G39" s="339"/>
      <x:c r="H39" s="339"/>
      <x:c r="I39" s="339"/>
      <x:c r="J39" s="339"/>
      <x:c r="K39" s="339"/>
      <x:c r="L39" s="339"/>
      <x:c r="M39" s="339"/>
      <x:c r="N39" s="339"/>
      <x:c r="O39" s="339"/>
      <x:c r="P39" s="339"/>
      <x:c r="Q39" s="339"/>
      <x:c r="R39" s="339"/>
      <x:c r="S39" s="339"/>
      <x:c r="T39" s="339"/>
      <x:c r="U39" s="339"/>
      <x:c r="V39" s="339"/>
      <x:c r="W39" s="339"/>
      <x:c r="X39" s="339"/>
      <x:c r="Y39" s="339"/>
      <x:c r="Z39" s="339"/>
    </x:row>
    <x:row r="40">
      <x:c r="A40" s="339"/>
      <x:c r="B40" s="339"/>
      <x:c r="C40" s="339"/>
      <x:c r="D40" s="339"/>
      <x:c r="E40" s="339"/>
      <x:c r="F40" s="339"/>
      <x:c r="G40" s="339"/>
      <x:c r="H40" s="339"/>
      <x:c r="I40" s="339"/>
      <x:c r="J40" s="339"/>
      <x:c r="K40" s="339"/>
      <x:c r="L40" s="339"/>
      <x:c r="M40" s="339"/>
      <x:c r="N40" s="339"/>
      <x:c r="O40" s="339"/>
      <x:c r="P40" s="339"/>
      <x:c r="Q40" s="339"/>
      <x:c r="R40" s="339"/>
      <x:c r="S40" s="339"/>
      <x:c r="T40" s="339"/>
      <x:c r="U40" s="339"/>
      <x:c r="V40" s="339"/>
      <x:c r="W40" s="339"/>
      <x:c r="X40" s="339"/>
      <x:c r="Y40" s="339"/>
      <x:c r="Z40" s="339"/>
    </x:row>
    <x:row r="41">
      <x:c r="A41" s="339"/>
      <x:c r="B41" s="339"/>
      <x:c r="C41" s="339"/>
      <x:c r="D41" s="339"/>
      <x:c r="E41" s="339"/>
      <x:c r="F41" s="339"/>
      <x:c r="G41" s="339"/>
      <x:c r="H41" s="339"/>
      <x:c r="I41" s="339"/>
      <x:c r="J41" s="339"/>
      <x:c r="K41" s="339"/>
      <x:c r="L41" s="339"/>
      <x:c r="M41" s="339"/>
      <x:c r="N41" s="339"/>
      <x:c r="O41" s="339"/>
      <x:c r="P41" s="339"/>
      <x:c r="Q41" s="339"/>
      <x:c r="R41" s="339"/>
      <x:c r="S41" s="339"/>
      <x:c r="T41" s="339"/>
      <x:c r="U41" s="339"/>
      <x:c r="V41" s="339"/>
      <x:c r="W41" s="339"/>
      <x:c r="X41" s="339"/>
      <x:c r="Y41" s="339"/>
      <x:c r="Z41" s="339"/>
    </x:row>
    <x:row r="42">
      <x:c r="A42" s="339"/>
      <x:c r="B42" s="339"/>
      <x:c r="C42" s="339"/>
      <x:c r="D42" s="339"/>
      <x:c r="E42" s="339"/>
      <x:c r="F42" s="339"/>
      <x:c r="G42" s="339"/>
      <x:c r="H42" s="339"/>
      <x:c r="I42" s="339"/>
      <x:c r="J42" s="339"/>
      <x:c r="K42" s="339"/>
      <x:c r="L42" s="339"/>
      <x:c r="M42" s="339"/>
      <x:c r="N42" s="339"/>
      <x:c r="O42" s="339"/>
      <x:c r="P42" s="339"/>
      <x:c r="Q42" s="339"/>
      <x:c r="R42" s="339"/>
      <x:c r="S42" s="339"/>
      <x:c r="T42" s="339"/>
      <x:c r="U42" s="339"/>
      <x:c r="V42" s="339"/>
      <x:c r="W42" s="339"/>
      <x:c r="X42" s="339"/>
      <x:c r="Y42" s="339"/>
      <x:c r="Z42" s="339"/>
    </x:row>
    <x:row r="43">
      <x:c r="A43" s="339"/>
      <x:c r="B43" s="339"/>
      <x:c r="C43" s="339"/>
      <x:c r="D43" s="339"/>
      <x:c r="E43" s="339"/>
      <x:c r="F43" s="339"/>
      <x:c r="G43" s="339"/>
      <x:c r="H43" s="339"/>
      <x:c r="I43" s="339"/>
      <x:c r="J43" s="339"/>
      <x:c r="K43" s="339"/>
      <x:c r="L43" s="339"/>
      <x:c r="M43" s="339"/>
      <x:c r="N43" s="339"/>
      <x:c r="O43" s="339"/>
      <x:c r="P43" s="339"/>
      <x:c r="Q43" s="339"/>
      <x:c r="R43" s="339"/>
      <x:c r="S43" s="339"/>
      <x:c r="T43" s="339"/>
      <x:c r="U43" s="339"/>
      <x:c r="V43" s="339"/>
      <x:c r="W43" s="339"/>
      <x:c r="X43" s="339"/>
      <x:c r="Y43" s="339"/>
      <x:c r="Z43" s="339"/>
    </x:row>
    <x:row r="44">
      <x:c r="A44" s="339"/>
      <x:c r="B44" s="339"/>
      <x:c r="C44" s="339"/>
      <x:c r="D44" s="339"/>
      <x:c r="E44" s="339"/>
      <x:c r="F44" s="339"/>
      <x:c r="G44" s="339"/>
      <x:c r="H44" s="339"/>
      <x:c r="I44" s="339"/>
      <x:c r="J44" s="339"/>
      <x:c r="K44" s="339"/>
      <x:c r="L44" s="339"/>
      <x:c r="M44" s="339"/>
      <x:c r="N44" s="339"/>
      <x:c r="O44" s="339"/>
      <x:c r="P44" s="339"/>
      <x:c r="Q44" s="339"/>
      <x:c r="R44" s="339"/>
      <x:c r="S44" s="339"/>
      <x:c r="T44" s="339"/>
      <x:c r="U44" s="339"/>
      <x:c r="V44" s="339"/>
      <x:c r="W44" s="339"/>
      <x:c r="X44" s="339"/>
      <x:c r="Y44" s="339"/>
      <x:c r="Z44" s="339"/>
    </x:row>
    <x:row r="45">
      <x:c r="A45" s="339"/>
      <x:c r="B45" s="339"/>
      <x:c r="C45" s="339"/>
      <x:c r="D45" s="339"/>
      <x:c r="E45" s="339"/>
      <x:c r="F45" s="339"/>
      <x:c r="G45" s="339"/>
      <x:c r="H45" s="339"/>
      <x:c r="I45" s="339"/>
      <x:c r="J45" s="339"/>
      <x:c r="K45" s="339"/>
      <x:c r="L45" s="339"/>
      <x:c r="M45" s="339"/>
      <x:c r="N45" s="339"/>
      <x:c r="O45" s="339"/>
      <x:c r="P45" s="339"/>
      <x:c r="Q45" s="339"/>
      <x:c r="R45" s="339"/>
      <x:c r="S45" s="339"/>
      <x:c r="T45" s="339"/>
      <x:c r="U45" s="339"/>
      <x:c r="V45" s="339"/>
      <x:c r="W45" s="339"/>
      <x:c r="X45" s="339"/>
      <x:c r="Y45" s="339"/>
      <x:c r="Z45" s="339"/>
    </x:row>
    <x:row r="46">
      <x:c r="A46" s="339"/>
      <x:c r="B46" s="339"/>
      <x:c r="C46" s="339"/>
      <x:c r="D46" s="339"/>
      <x:c r="E46" s="339"/>
      <x:c r="F46" s="339"/>
      <x:c r="G46" s="339"/>
      <x:c r="H46" s="339"/>
      <x:c r="I46" s="339"/>
      <x:c r="J46" s="339"/>
      <x:c r="K46" s="339"/>
      <x:c r="L46" s="339"/>
      <x:c r="M46" s="339"/>
      <x:c r="N46" s="339"/>
      <x:c r="O46" s="339"/>
      <x:c r="P46" s="339"/>
      <x:c r="Q46" s="339"/>
      <x:c r="R46" s="339"/>
      <x:c r="S46" s="339"/>
      <x:c r="T46" s="339"/>
      <x:c r="U46" s="339"/>
      <x:c r="V46" s="339"/>
      <x:c r="W46" s="339"/>
      <x:c r="X46" s="339"/>
      <x:c r="Y46" s="339"/>
      <x:c r="Z46" s="339"/>
    </x:row>
    <x:row r="47">
      <x:c r="A47" s="339"/>
      <x:c r="B47" s="339"/>
      <x:c r="C47" s="339"/>
      <x:c r="D47" s="339"/>
      <x:c r="E47" s="339"/>
      <x:c r="F47" s="339"/>
      <x:c r="G47" s="339"/>
      <x:c r="H47" s="339"/>
      <x:c r="I47" s="339"/>
      <x:c r="J47" s="339"/>
      <x:c r="K47" s="339"/>
      <x:c r="L47" s="339"/>
      <x:c r="M47" s="339"/>
      <x:c r="N47" s="339"/>
      <x:c r="O47" s="339"/>
      <x:c r="P47" s="339"/>
      <x:c r="Q47" s="339"/>
      <x:c r="R47" s="339"/>
      <x:c r="S47" s="339"/>
      <x:c r="T47" s="339"/>
      <x:c r="U47" s="339"/>
      <x:c r="V47" s="339"/>
      <x:c r="W47" s="339"/>
      <x:c r="X47" s="339"/>
      <x:c r="Y47" s="339"/>
      <x:c r="Z47" s="339"/>
    </x:row>
    <x:row r="48">
      <x:c r="A48" s="339"/>
      <x:c r="B48" s="339"/>
      <x:c r="C48" s="339"/>
      <x:c r="D48" s="339"/>
      <x:c r="E48" s="339"/>
      <x:c r="F48" s="339"/>
      <x:c r="G48" s="339"/>
      <x:c r="H48" s="339"/>
      <x:c r="I48" s="339"/>
      <x:c r="J48" s="339"/>
      <x:c r="K48" s="339"/>
      <x:c r="L48" s="339"/>
      <x:c r="M48" s="339"/>
      <x:c r="N48" s="339"/>
      <x:c r="O48" s="339"/>
      <x:c r="P48" s="339"/>
      <x:c r="Q48" s="339"/>
      <x:c r="R48" s="339"/>
      <x:c r="S48" s="339"/>
      <x:c r="T48" s="339"/>
      <x:c r="U48" s="339"/>
      <x:c r="V48" s="339"/>
      <x:c r="W48" s="339"/>
      <x:c r="X48" s="339"/>
      <x:c r="Y48" s="339"/>
      <x:c r="Z48" s="339"/>
    </x:row>
    <x:row r="49">
      <x:c r="A49" s="339"/>
      <x:c r="B49" s="339"/>
      <x:c r="C49" s="339"/>
      <x:c r="D49" s="339"/>
      <x:c r="E49" s="339"/>
      <x:c r="F49" s="339"/>
      <x:c r="G49" s="339"/>
      <x:c r="H49" s="339"/>
      <x:c r="I49" s="339"/>
      <x:c r="J49" s="339"/>
      <x:c r="K49" s="339"/>
      <x:c r="L49" s="339"/>
      <x:c r="M49" s="339"/>
      <x:c r="N49" s="339"/>
      <x:c r="O49" s="339"/>
      <x:c r="P49" s="339"/>
      <x:c r="Q49" s="339"/>
      <x:c r="R49" s="339"/>
      <x:c r="S49" s="339"/>
      <x:c r="T49" s="339"/>
      <x:c r="U49" s="339"/>
      <x:c r="V49" s="339"/>
      <x:c r="W49" s="339"/>
      <x:c r="X49" s="339"/>
      <x:c r="Y49" s="339"/>
      <x:c r="Z49" s="339"/>
    </x:row>
    <x:row r="50">
      <x:c r="A50" s="339"/>
      <x:c r="B50" s="339"/>
      <x:c r="C50" s="339"/>
      <x:c r="D50" s="339"/>
      <x:c r="E50" s="339"/>
      <x:c r="F50" s="339"/>
      <x:c r="G50" s="339"/>
      <x:c r="H50" s="339"/>
      <x:c r="I50" s="339"/>
      <x:c r="J50" s="339"/>
      <x:c r="K50" s="339"/>
      <x:c r="L50" s="339"/>
      <x:c r="M50" s="339"/>
      <x:c r="N50" s="339"/>
      <x:c r="O50" s="339"/>
      <x:c r="P50" s="339"/>
      <x:c r="Q50" s="339"/>
      <x:c r="R50" s="339"/>
      <x:c r="S50" s="339"/>
      <x:c r="T50" s="339"/>
      <x:c r="U50" s="339"/>
      <x:c r="V50" s="339"/>
      <x:c r="W50" s="339"/>
      <x:c r="X50" s="339"/>
      <x:c r="Y50" s="339"/>
      <x:c r="Z50" s="339"/>
    </x:row>
    <x:row r="51">
      <x:c r="A51" s="339"/>
      <x:c r="B51" s="339"/>
      <x:c r="C51" s="339"/>
      <x:c r="D51" s="339"/>
      <x:c r="E51" s="339"/>
      <x:c r="F51" s="339"/>
      <x:c r="G51" s="339"/>
      <x:c r="H51" s="339"/>
      <x:c r="I51" s="339"/>
      <x:c r="J51" s="339"/>
      <x:c r="K51" s="339"/>
      <x:c r="L51" s="339"/>
      <x:c r="M51" s="339"/>
      <x:c r="N51" s="339"/>
      <x:c r="O51" s="339"/>
      <x:c r="P51" s="339"/>
      <x:c r="Q51" s="339"/>
      <x:c r="R51" s="339"/>
      <x:c r="S51" s="339"/>
      <x:c r="T51" s="339"/>
      <x:c r="U51" s="339"/>
      <x:c r="V51" s="339"/>
      <x:c r="W51" s="339"/>
      <x:c r="X51" s="339"/>
      <x:c r="Y51" s="339"/>
      <x:c r="Z51" s="339"/>
    </x:row>
    <x:row r="52">
      <x:c r="A52" s="339"/>
      <x:c r="B52" s="339"/>
      <x:c r="C52" s="339"/>
      <x:c r="D52" s="339"/>
      <x:c r="E52" s="339"/>
      <x:c r="F52" s="339"/>
      <x:c r="G52" s="339"/>
      <x:c r="H52" s="339"/>
      <x:c r="I52" s="339"/>
      <x:c r="J52" s="339"/>
      <x:c r="K52" s="339"/>
      <x:c r="L52" s="339"/>
      <x:c r="M52" s="339"/>
      <x:c r="N52" s="339"/>
      <x:c r="O52" s="339"/>
      <x:c r="P52" s="339"/>
      <x:c r="Q52" s="339"/>
      <x:c r="R52" s="339"/>
      <x:c r="S52" s="339"/>
      <x:c r="T52" s="339"/>
      <x:c r="U52" s="339"/>
      <x:c r="V52" s="339"/>
      <x:c r="W52" s="339"/>
      <x:c r="X52" s="339"/>
      <x:c r="Y52" s="339"/>
      <x:c r="Z52" s="339"/>
    </x:row>
    <x:row r="53">
      <x:c r="A53" s="339"/>
      <x:c r="B53" s="339"/>
      <x:c r="C53" s="339"/>
      <x:c r="D53" s="339"/>
      <x:c r="E53" s="339"/>
      <x:c r="F53" s="339"/>
      <x:c r="G53" s="339"/>
      <x:c r="H53" s="339"/>
      <x:c r="I53" s="339"/>
      <x:c r="J53" s="339"/>
      <x:c r="K53" s="339"/>
      <x:c r="L53" s="339"/>
      <x:c r="M53" s="339"/>
      <x:c r="N53" s="339"/>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339"/>
      <x:c r="V56" s="339"/>
      <x:c r="W56" s="339"/>
      <x:c r="X56" s="339"/>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339"/>
      <x:c r="V57" s="339"/>
      <x:c r="W57" s="339"/>
      <x:c r="X57" s="339"/>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339"/>
      <x:c r="V58" s="339"/>
      <x:c r="W58" s="339"/>
      <x:c r="X58" s="339"/>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339"/>
      <x:c r="V59" s="339"/>
      <x:c r="W59" s="339"/>
      <x:c r="X59" s="339"/>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339"/>
      <x:c r="V60" s="339"/>
      <x:c r="W60" s="339"/>
      <x:c r="X60" s="339"/>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339"/>
      <x:c r="V61" s="339"/>
      <x:c r="W61" s="339"/>
      <x:c r="X61" s="339"/>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339"/>
      <x:c r="V62" s="339"/>
      <x:c r="W62" s="339"/>
      <x:c r="X62" s="339"/>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339"/>
      <x:c r="V63" s="339"/>
      <x:c r="W63" s="339"/>
      <x:c r="X63" s="339"/>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339"/>
      <x:c r="V66" s="339"/>
      <x:c r="W66" s="339"/>
      <x:c r="X66" s="339"/>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339"/>
      <x:c r="V67" s="339"/>
      <x:c r="W67" s="339"/>
      <x:c r="X67" s="339"/>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339"/>
      <x:c r="V68" s="339"/>
      <x:c r="W68" s="339"/>
      <x:c r="X68" s="339"/>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H1"/>
    <x:mergeCell ref="A2:H2"/>
  </x:mergeCells>
  <x:pageMargins left="0.7" right="0.7" top="0.75" bottom="0.75" header="0.3" footer="0.3"/>
</x:worksheet>
</file>

<file path=xl/worksheets/sheet4.xml><?xml version="1.0" encoding="utf-8"?>
<x:worksheet xmlns:x="http://schemas.openxmlformats.org/spreadsheetml/2006/main">
  <x:sheetViews>
    <x:sheetView showGridLines="0" workbookViewId="0"/>
  </x:sheetViews>
  <x:sheetFormatPr defaultRowHeight="15"/>
  <x:cols>
    <x:col min="1" max="1" width="28" hidden="0" customWidth="1"/>
    <x:col min="2" max="2" width="38" hidden="0" customWidth="1"/>
    <x:col min="3" max="3" width="36" hidden="0" customWidth="1"/>
    <x:col min="4" max="4" width="26" hidden="0" customWidth="1"/>
    <x:col min="5" max="5" width="30" hidden="0" customWidth="1"/>
    <x:col min="6" max="6" width="42" hidden="0" customWidth="1"/>
  </x:cols>
  <x:sheetData>
    <x:row r="1">
      <x:c r="A1" s="1124" t="str">
        <x:v>Master-Model Completion Gate</x:v>
      </x:c>
      <x:c r="B1" s="1124"/>
      <x:c r="C1" s="1124"/>
      <x:c r="D1" s="1124"/>
      <x:c r="E1" s="1124"/>
      <x:c r="F1" s="1124"/>
    </x:row>
    <x:row r="2">
      <x:c r="A2" s="1126" t="str">
        <x:v>These checks must pass before either documented output is relied upon. The two workbooks are generated from this corrected controlling model.</x:v>
      </x:c>
      <x:c r="B2" s="1126"/>
      <x:c r="C2" s="1126"/>
      <x:c r="D2" s="1126"/>
      <x:c r="E2" s="1126"/>
      <x:c r="F2" s="1126"/>
    </x:row>
    <x:row r="4">
      <x:c r="A4" s="1129" t="str">
        <x:v>Control</x:v>
      </x:c>
      <x:c r="B4" s="1129" t="str">
        <x:v>Required result</x:v>
      </x:c>
      <x:c r="C4" s="1129" t="str">
        <x:v>Workbook evidence</x:v>
      </x:c>
      <x:c r="D4" s="1129" t="str">
        <x:v>Status</x:v>
      </x:c>
      <x:c r="E4" s="1129" t="str">
        <x:v>Owner / follow-up</x:v>
      </x:c>
      <x:c r="F4" s="1129" t="str">
        <x:v>Interpretation</x:v>
      </x:c>
    </x:row>
    <x:row r="5">
      <x:c r="A5" s="26" t="str">
        <x:v>Discount-rate labels</x:v>
      </x:c>
      <x:c r="B5" s="26" t="str">
        <x:v>2% Treasury-aligned; 4% intermediate; 8% high</x:v>
      </x:c>
      <x:c r="C5" s="26" t="str">
        <x:v>Assumptions E15, E53, E16</x:v>
      </x:c>
      <x:c r="D5" s="1131" t="str">
        <x:v>PASS</x:v>
      </x:c>
      <x:c r="E5" s="26" t="str">
        <x:v>Refresh source at valuation date</x:v>
      </x:c>
      <x:c r="F5" s="26" t="str">
        <x:v>4% is used only as an intermediate analytical sensitivity.</x:v>
      </x:c>
    </x:row>
    <x:row r="6">
      <x:c r="A6" s="26" t="str">
        <x:v>Earnings-uplift measures</x:v>
      </x:c>
      <x:c r="B6" s="26" t="str">
        <x:v>Affected and three cohort-equivalent measures present</x:v>
      </x:c>
      <x:c r="C6" s="26" t="str">
        <x:v>Human Capital &amp; Earnings 137:147; Earnings Uplift Bridge</x:v>
      </x:c>
      <x:c r="D6" s="1131" t="str">
        <x:v>PASS</x:v>
      </x:c>
      <x:c r="E6" s="26" t="str">
        <x:v>Pilot causal evidence required</x:v>
      </x:c>
      <x:c r="F6" s="26" t="str">
        <x:v>No uniform full-cohort claim.</x:v>
      </x:c>
    </x:row>
    <x:row r="7">
      <x:c r="A7" s="26" t="str">
        <x:v>Population reconciliation</x:v>
      </x:c>
      <x:c r="B7" s="26" t="str">
        <x:v>Eligible cohort to effective affected employed population</x:v>
      </x:c>
      <x:c r="C7" s="26" t="str">
        <x:v>Human Capital &amp; Earnings 29:41</x:v>
      </x:c>
      <x:c r="D7" s="1131" t="str">
        <x:v>PASS</x:v>
      </x:c>
      <x:c r="E7" s="26" t="str">
        <x:v>Validate inputs in Stage 0/pilot</x:v>
      </x:c>
      <x:c r="F7" s="26" t="str">
        <x:v>All population factors are explicit.</x:v>
      </x:c>
    </x:row>
    <x:row r="8">
      <x:c r="A8" s="26" t="str">
        <x:v>Two BCR perspectives</x:v>
      </x:c>
      <x:c r="B8" s="26" t="str">
        <x:v>Full-expenditure and transfer-adjusted views present</x:v>
      </x:c>
      <x:c r="C8" s="26" t="str">
        <x:v>Benefits &amp; BCR 103:111</x:v>
      </x:c>
      <x:c r="D8" s="1131" t="str">
        <x:v>PASS — transfer view provisional</x:v>
      </x:c>
      <x:c r="E8" s="26" t="str">
        <x:v>Treasury confirmation</x:v>
      </x:c>
      <x:c r="F8" s="26" t="str">
        <x:v>Cash appropriation remains unchanged.</x:v>
      </x:c>
    </x:row>
    <x:row r="9">
      <x:c r="A9" s="26" t="str">
        <x:v>Core plus targeted warning</x:v>
      </x:c>
      <x:c r="B9" s="26" t="str">
        <x:v>Warning and 25/50/75/100 retained-effect sensitivities</x:v>
      </x:c>
      <x:c r="C9" s="26" t="str">
        <x:v>Delivery Scenarios 16 and 46:52</x:v>
      </x:c>
      <x:c r="D9" s="1131" t="str">
        <x:v>PASS</x:v>
      </x:c>
      <x:c r="E9" s="26" t="str">
        <x:v>Pilot effect evidence required</x:v>
      </x:c>
      <x:c r="F9" s="26" t="str">
        <x:v>Leading testable structural scenario only.</x:v>
      </x:c>
    </x:row>
    <x:row r="10">
      <x:c r="A10" s="26" t="str">
        <x:v>Standalone language</x:v>
      </x:c>
      <x:c r="B10" s="26" t="str">
        <x:v>No public drafting-history wording</x:v>
      </x:c>
      <x:c r="C10" s="26" t="str">
        <x:v>Workbook-wide language scan</x:v>
      </x:c>
      <x:c r="D10" s="1131" t="str">
        <x:v>PASS</x:v>
      </x:c>
      <x:c r="E10" s="26" t="str">
        <x:v>Repeat before publication</x:v>
      </x:c>
      <x:c r="F10" s="26" t="str">
        <x:v>Workbook reads as a standalone case.</x:v>
      </x:c>
    </x:row>
    <x:row r="11">
      <x:c r="A11" s="26" t="str">
        <x:v>Executive chart time basis</x:v>
      </x:c>
      <x:c r="B11" s="26" t="str">
        <x:v>Annual cohort cost versus PV lifetime cohort benefits</x:v>
      </x:c>
      <x:c r="C11" s="26" t="str">
        <x:v>Executive Summary 47:52 and chart title</x:v>
      </x:c>
      <x:c r="D11" s="1131" t="str">
        <x:v>PASS</x:v>
      </x:c>
      <x:c r="E11" s="26" t="str">
        <x:v>Maintain labels in report export</x:v>
      </x:c>
      <x:c r="F11" s="26" t="str">
        <x:v>Annual and lifetime values are explicitly distinguished.</x:v>
      </x:c>
    </x:row>
    <x:row r="12">
      <x:c r="A12" s="26" t="str">
        <x:v>Formula-error scan</x:v>
      </x:c>
      <x:c r="B12" s="26" t="str">
        <x:v>No REF/DIV/0/VALUE/NAME/N/A errors</x:v>
      </x:c>
      <x:c r="C12" s="26" t="str">
        <x:v>Workbook-wide scan</x:v>
      </x:c>
      <x:c r="D12" s="1131" t="str">
        <x:v>PASS</x:v>
      </x:c>
      <x:c r="E12" s="26" t="str">
        <x:v>Repeat after external review</x:v>
      </x:c>
      <x:c r="F12" s="26" t="str">
        <x:v>No detected formula errors.</x:v>
      </x:c>
    </x:row>
    <x:row r="13">
      <x:c r="A13" s="26" t="str">
        <x:v>Summary reconciliation</x:v>
      </x:c>
      <x:c r="B13" s="26" t="str">
        <x:v>All key-output differences equal zero</x:v>
      </x:c>
      <x:c r="C13" s="26" t="str">
        <x:v>Core Model Checksum</x:v>
      </x:c>
      <x:c r="D13" s="1131" t="str">
        <x:v>PASS subject to checksum</x:v>
      </x:c>
      <x:c r="E13" s="26" t="str">
        <x:v>Review any non-zero difference</x:v>
      </x:c>
      <x:c r="F13" s="26" t="str">
        <x:v>Single-model control.</x:v>
      </x:c>
    </x:row>
  </x:sheetData>
  <x:mergeCells>
    <x:mergeCell ref="A1:F1"/>
    <x:mergeCell ref="A2:F2"/>
  </x:mergeCells>
  <x:pageMargins left="0.7" right="0.7" top="0.75" bottom="0.75" header="0.3" footer="0.3"/>
</x:worksheet>
</file>

<file path=xl/worksheets/sheet5.xml><?xml version="1.0" encoding="utf-8"?>
<x:worksheet xmlns:x="http://schemas.openxmlformats.org/spreadsheetml/2006/main">
  <x:sheetViews>
    <x:sheetView showGridLines="0" workbookViewId="0"/>
  </x:sheetViews>
  <x:sheetFormatPr defaultRowHeight="15"/>
  <x:cols>
    <x:col min="1" max="1" width="12" hidden="0" customWidth="1"/>
    <x:col min="2" max="2" width="45" hidden="0" customWidth="1"/>
    <x:col min="3" max="3" width="34" hidden="0" customWidth="1"/>
    <x:col min="4" max="4" width="28" hidden="0" customWidth="1"/>
    <x:col min="5" max="5" width="12" hidden="0" customWidth="1"/>
    <x:col min="6" max="6" width="16" hidden="0" customWidth="1"/>
    <x:col min="7" max="7" width="45" hidden="0" customWidth="1"/>
  </x:cols>
  <x:sheetData>
    <x:row r="1">
      <x:c r="A1" s="1132" t="str">
        <x:v>Professional Metric Index</x:v>
      </x:c>
      <x:c r="B1" s="1132"/>
      <x:c r="C1" s="1132"/>
      <x:c r="D1" s="1132"/>
      <x:c r="E1" s="1132"/>
      <x:c r="F1" s="1132"/>
      <x:c r="G1" s="1132"/>
    </x:row>
    <x:row r="2">
      <x:c r="A2" s="26"/>
      <x:c r="B2" s="26"/>
      <x:c r="C2" s="26"/>
      <x:c r="D2" s="26"/>
      <x:c r="E2" s="26"/>
      <x:c r="F2" s="26"/>
      <x:c r="G2" s="26"/>
    </x:row>
    <x:row r="3">
      <x:c r="A3" s="1129" t="str">
        <x:v>Metric ID</x:v>
      </x:c>
      <x:c r="B3" s="1129" t="str">
        <x:v>Metric</x:v>
      </x:c>
      <x:c r="C3" s="1129" t="str">
        <x:v>Perspective</x:v>
      </x:c>
      <x:c r="D3" s="1129" t="str">
        <x:v>Source sheet</x:v>
      </x:c>
      <x:c r="E3" s="1129" t="str">
        <x:v>Cell</x:v>
      </x:c>
      <x:c r="F3" s="1129" t="str">
        <x:v>Unit</x:v>
      </x:c>
      <x:c r="G3" s="1129" t="str">
        <x:v>Technical interpretation</x:v>
      </x:c>
    </x:row>
    <x:row r="4">
      <x:c r="A4" s="26" t="str">
        <x:v>COST-01</x:v>
      </x:c>
      <x:c r="B4" s="26" t="str">
        <x:v>Stage 0 central cost</x:v>
      </x:c>
      <x:c r="C4" s="26" t="str">
        <x:v>Stage 0 feasibility and co-design</x:v>
      </x:c>
      <x:c r="D4" s="26" t="str">
        <x:v>Stage 0 - Year 0</x:v>
      </x:c>
      <x:c r="E4" s="26" t="str">
        <x:v>H54</x:v>
      </x:c>
      <x:c r="F4" s="26" t="str">
        <x:v>NZD</x:v>
      </x:c>
      <x:c r="G4" s="26" t="str">
        <x:v>See the controlling source cell and relevant overlap/evidence controls.</x:v>
      </x:c>
    </x:row>
    <x:row r="5">
      <x:c r="A5" s="26" t="str">
        <x:v>COST-02</x:v>
      </x:c>
      <x:c r="B5" s="26" t="str">
        <x:v>Three-year pilot central cost</x:v>
      </x:c>
      <x:c r="C5" s="26" t="str">
        <x:v>Bounded pilot</x:v>
      </x:c>
      <x:c r="D5" s="26" t="str">
        <x:v>Stage 1 - Pilot</x:v>
      </x:c>
      <x:c r="E5" s="26" t="str">
        <x:v>E6</x:v>
      </x:c>
      <x:c r="F5" s="26" t="str">
        <x:v>NZD</x:v>
      </x:c>
      <x:c r="G5" s="26" t="str">
        <x:v>See the controlling source cell and relevant overlap/evidence controls.</x:v>
      </x:c>
    </x:row>
    <x:row r="6">
      <x:c r="A6" s="26" t="str">
        <x:v>COST-03</x:v>
      </x:c>
      <x:c r="B6" s="26" t="str">
        <x:v>Mature annual national cost</x:v>
      </x:c>
      <x:c r="C6" s="26" t="str">
        <x:v>Conditional national scale</x:v>
      </x:c>
      <x:c r="D6" s="26" t="str">
        <x:v>Stage 2 - National</x:v>
      </x:c>
      <x:c r="E6" s="26" t="str">
        <x:v>K48</x:v>
      </x:c>
      <x:c r="F6" s="26" t="str">
        <x:v>NZD/year</x:v>
      </x:c>
      <x:c r="G6" s="26" t="str">
        <x:v>See the controlling source cell and relevant overlap/evidence controls.</x:v>
      </x:c>
    </x:row>
    <x:row r="7">
      <x:c r="A7" s="26" t="str">
        <x:v>COST-04</x:v>
      </x:c>
      <x:c r="B7" s="26" t="str">
        <x:v>Universal core annual cost</x:v>
      </x:c>
      <x:c r="C7" s="26" t="str">
        <x:v>Structural scenario</x:v>
      </x:c>
      <x:c r="D7" s="26" t="str">
        <x:v>Delivery Scenarios</x:v>
      </x:c>
      <x:c r="E7" s="26" t="str">
        <x:v>G20</x:v>
      </x:c>
      <x:c r="F7" s="26" t="str">
        <x:v>NZD/year</x:v>
      </x:c>
      <x:c r="G7" s="26" t="str">
        <x:v>See the controlling source cell and relevant overlap/evidence controls.</x:v>
      </x:c>
    </x:row>
    <x:row r="8">
      <x:c r="A8" s="26" t="str">
        <x:v>COST-05</x:v>
      </x:c>
      <x:c r="B8" s="26" t="str">
        <x:v>Core plus targeted annual cost</x:v>
      </x:c>
      <x:c r="C8" s="26" t="str">
        <x:v>Leading testable structural scenario</x:v>
      </x:c>
      <x:c r="D8" s="26" t="str">
        <x:v>Delivery Scenarios</x:v>
      </x:c>
      <x:c r="E8" s="26" t="str">
        <x:v>G21</x:v>
      </x:c>
      <x:c r="F8" s="26" t="str">
        <x:v>NZD/year</x:v>
      </x:c>
      <x:c r="G8" s="26" t="str">
        <x:v>See the controlling source cell and relevant overlap/evidence controls.</x:v>
      </x:c>
    </x:row>
    <x:row r="9">
      <x:c r="A9" s="26" t="str">
        <x:v>LC-01</x:v>
      </x:c>
      <x:c r="B9" s="26" t="str">
        <x:v>Five-year Learning Capital contribution per participant</x:v>
      </x:c>
      <x:c r="C9" s="26" t="str">
        <x:v>Participant outcome</x:v>
      </x:c>
      <x:c r="D9" s="26" t="str">
        <x:v>Learning Capital &amp; ROI</x:v>
      </x:c>
      <x:c r="E9" s="26" t="str">
        <x:v>C23</x:v>
      </x:c>
      <x:c r="F9" s="26" t="str">
        <x:v>NZD/person</x:v>
      </x:c>
      <x:c r="G9" s="26" t="str">
        <x:v>See the controlling source cell and relevant overlap/evidence controls.</x:v>
      </x:c>
    </x:row>
    <x:row r="10">
      <x:c r="A10" s="26" t="str">
        <x:v>LC-02</x:v>
      </x:c>
      <x:c r="B10" s="26" t="str">
        <x:v>Central nominal closing Learning Capital balance</x:v>
      </x:c>
      <x:c r="C10" s="26" t="str">
        <x:v>Participant outcome</x:v>
      </x:c>
      <x:c r="D10" s="26" t="str">
        <x:v>Learning Capital &amp; ROI</x:v>
      </x:c>
      <x:c r="E10" s="26" t="str">
        <x:v>C26</x:v>
      </x:c>
      <x:c r="F10" s="26" t="str">
        <x:v>NZD/person</x:v>
      </x:c>
      <x:c r="G10" s="26" t="str">
        <x:v>See the controlling source cell and relevant overlap/evidence controls.</x:v>
      </x:c>
    </x:row>
    <x:row r="11">
      <x:c r="A11" s="26" t="str">
        <x:v>FISC-01</x:v>
      </x:c>
      <x:c r="B11" s="26" t="str">
        <x:v>Official fair-value cost avoided</x:v>
      </x:c>
      <x:c r="C11" s="26" t="str">
        <x:v>Crown fiscal offset</x:v>
      </x:c>
      <x:c r="D11" s="26" t="str">
        <x:v>Cohort Bridge</x:v>
      </x:c>
      <x:c r="E11" s="26" t="str">
        <x:v>D28</x:v>
      </x:c>
      <x:c r="F11" s="26" t="str">
        <x:v>NZD/cohort</x:v>
      </x:c>
      <x:c r="G11" s="26" t="str">
        <x:v>See the controlling source cell and relevant overlap/evidence controls.</x:v>
      </x:c>
    </x:row>
    <x:row r="12">
      <x:c r="A12" s="26" t="str">
        <x:v>FISC-02</x:v>
      </x:c>
      <x:c r="B12" s="26" t="str">
        <x:v>Net Learning Capital Crown fiscal offset</x:v>
      </x:c>
      <x:c r="C12" s="26" t="str">
        <x:v>Crown fiscal effect</x:v>
      </x:c>
      <x:c r="D12" s="26" t="str">
        <x:v>Cohort Bridge</x:v>
      </x:c>
      <x:c r="E12" s="26" t="str">
        <x:v>D30</x:v>
      </x:c>
      <x:c r="F12" s="26" t="str">
        <x:v>NZD PV/cohort</x:v>
      </x:c>
      <x:c r="G12" s="26" t="str">
        <x:v>See the controlling source cell and relevant overlap/evidence controls.</x:v>
      </x:c>
    </x:row>
    <x:row r="13">
      <x:c r="A13" s="26" t="str">
        <x:v>HC-01</x:v>
      </x:c>
      <x:c r="B13" s="26" t="str">
        <x:v>Annual eligible cohort</x:v>
      </x:c>
      <x:c r="C13" s="26" t="str">
        <x:v>Population reconciliation</x:v>
      </x:c>
      <x:c r="D13" s="26" t="str">
        <x:v>Human Capital &amp; Earnings</x:v>
      </x:c>
      <x:c r="E13" s="26" t="str">
        <x:v>B29</x:v>
      </x:c>
      <x:c r="F13" s="26" t="str">
        <x:v>people</x:v>
      </x:c>
      <x:c r="G13" s="26" t="str">
        <x:v>See the controlling source cell and relevant overlap/evidence controls.</x:v>
      </x:c>
    </x:row>
    <x:row r="14">
      <x:c r="A14" s="26" t="str">
        <x:v>HC-02</x:v>
      </x:c>
      <x:c r="B14" s="26" t="str">
        <x:v>Broad non-overlap cohort</x:v>
      </x:c>
      <x:c r="C14" s="26" t="str">
        <x:v>Population reconciliation</x:v>
      </x:c>
      <x:c r="D14" s="26" t="str">
        <x:v>Human Capital &amp; Earnings</x:v>
      </x:c>
      <x:c r="E14" s="26" t="str">
        <x:v>B31</x:v>
      </x:c>
      <x:c r="F14" s="26" t="str">
        <x:v>people</x:v>
      </x:c>
      <x:c r="G14" s="26" t="str">
        <x:v>See the controlling source cell and relevant overlap/evidence controls.</x:v>
      </x:c>
    </x:row>
    <x:row r="15">
      <x:c r="A15" s="26" t="str">
        <x:v>HC-03</x:v>
      </x:c>
      <x:c r="B15" s="26" t="str">
        <x:v>Effective affected employed population</x:v>
      </x:c>
      <x:c r="C15" s="26" t="str">
        <x:v>Population reconciliation</x:v>
      </x:c>
      <x:c r="D15" s="26" t="str">
        <x:v>Human Capital &amp; Earnings</x:v>
      </x:c>
      <x:c r="E15" s="26" t="str">
        <x:v>B41</x:v>
      </x:c>
      <x:c r="F15" s="26" t="str">
        <x:v>people</x:v>
      </x:c>
      <x:c r="G15" s="26" t="str">
        <x:v>See the controlling source cell and relevant overlap/evidence controls.</x:v>
      </x:c>
    </x:row>
    <x:row r="16">
      <x:c r="A16" s="26" t="str">
        <x:v>HC-04</x:v>
      </x:c>
      <x:c r="B16" s="26" t="str">
        <x:v>1% value-weighted equivalent uplift — broad cohort</x:v>
      </x:c>
      <x:c r="C16" s="26" t="str">
        <x:v>Earnings interpretation</x:v>
      </x:c>
      <x:c r="D16" s="26" t="str">
        <x:v>Human Capital &amp; Earnings</x:v>
      </x:c>
      <x:c r="E16" s="26" t="str">
        <x:v>D140</x:v>
      </x:c>
      <x:c r="F16" s="26" t="str">
        <x:v>%</x:v>
      </x:c>
      <x:c r="G16" s="26" t="str">
        <x:v>See the controlling source cell and relevant overlap/evidence controls.</x:v>
      </x:c>
    </x:row>
    <x:row r="17">
      <x:c r="A17" s="26" t="str">
        <x:v>HC-05</x:v>
      </x:c>
      <x:c r="B17" s="26" t="str">
        <x:v>1% value-weighted equivalent uplift — full cohort</x:v>
      </x:c>
      <x:c r="C17" s="26" t="str">
        <x:v>Earnings interpretation</x:v>
      </x:c>
      <x:c r="D17" s="26" t="str">
        <x:v>Human Capital &amp; Earnings</x:v>
      </x:c>
      <x:c r="E17" s="26" t="str">
        <x:v>D141</x:v>
      </x:c>
      <x:c r="F17" s="26" t="str">
        <x:v>%</x:v>
      </x:c>
      <x:c r="G17" s="26" t="str">
        <x:v>See the controlling source cell and relevant overlap/evidence controls.</x:v>
      </x:c>
    </x:row>
    <x:row r="18">
      <x:c r="A18" s="26" t="str">
        <x:v>HC-06</x:v>
      </x:c>
      <x:c r="B18" s="26" t="str">
        <x:v>1% simple headcount-weighted equivalent — full cohort</x:v>
      </x:c>
      <x:c r="C18" s="26" t="str">
        <x:v>Earnings interpretation</x:v>
      </x:c>
      <x:c r="D18" s="26" t="str">
        <x:v>Human Capital &amp; Earnings</x:v>
      </x:c>
      <x:c r="E18" s="26" t="str">
        <x:v>D142</x:v>
      </x:c>
      <x:c r="F18" s="26" t="str">
        <x:v>%</x:v>
      </x:c>
      <x:c r="G18" s="26" t="str">
        <x:v>See the controlling source cell and relevant overlap/evidence controls.</x:v>
      </x:c>
    </x:row>
    <x:row r="19">
      <x:c r="A19" s="26" t="str">
        <x:v>BCR-01</x:v>
      </x:c>
      <x:c r="B19" s="26" t="str">
        <x:v>Full-expenditure BCR at 1% uplift — 2%</x:v>
      </x:c>
      <x:c r="C19" s="26" t="str">
        <x:v>Treasury-aligned lead social view</x:v>
      </x:c>
      <x:c r="D19" s="26" t="str">
        <x:v>Human Capital &amp; Earnings</x:v>
      </x:c>
      <x:c r="E19" s="26" t="str">
        <x:v>J99</x:v>
      </x:c>
      <x:c r="F19" s="26" t="str">
        <x:v>x</x:v>
      </x:c>
      <x:c r="G19" s="26" t="str">
        <x:v>See the controlling source cell and relevant overlap/evidence controls.</x:v>
      </x:c>
    </x:row>
    <x:row r="20">
      <x:c r="A20" s="26" t="str">
        <x:v>BCR-02</x:v>
      </x:c>
      <x:c r="B20" s="26" t="str">
        <x:v>Full-expenditure BCR at 1% uplift — 4%</x:v>
      </x:c>
      <x:c r="C20" s="26" t="str">
        <x:v>Intermediate sensitivity</x:v>
      </x:c>
      <x:c r="D20" s="26" t="str">
        <x:v>Human Capital &amp; Earnings</x:v>
      </x:c>
      <x:c r="E20" s="26" t="str">
        <x:v>K99</x:v>
      </x:c>
      <x:c r="F20" s="26" t="str">
        <x:v>x</x:v>
      </x:c>
      <x:c r="G20" s="26" t="str">
        <x:v>See the controlling source cell and relevant overlap/evidence controls.</x:v>
      </x:c>
    </x:row>
    <x:row r="21">
      <x:c r="A21" s="26" t="str">
        <x:v>BCR-03</x:v>
      </x:c>
      <x:c r="B21" s="26" t="str">
        <x:v>Full-expenditure BCR at 1% uplift — 8%</x:v>
      </x:c>
      <x:c r="C21" s="26" t="str">
        <x:v>High sensitivity</x:v>
      </x:c>
      <x:c r="D21" s="26" t="str">
        <x:v>Human Capital &amp; Earnings</x:v>
      </x:c>
      <x:c r="E21" s="26" t="str">
        <x:v>L99</x:v>
      </x:c>
      <x:c r="F21" s="26" t="str">
        <x:v>x</x:v>
      </x:c>
      <x:c r="G21" s="26" t="str">
        <x:v>See the controlling source cell and relevant overlap/evidence controls.</x:v>
      </x:c>
    </x:row>
    <x:row r="22">
      <x:c r="A22" s="26" t="str">
        <x:v>BCR-04</x:v>
      </x:c>
      <x:c r="B22" s="26" t="str">
        <x:v>Provisional alternative economic treatment of participant transfers — not Treasury-confirmed — 2%</x:v>
      </x:c>
      <x:c r="C22" s="26" t="str">
        <x:v>Provisional national economic view</x:v>
      </x:c>
      <x:c r="D22" s="26" t="str">
        <x:v>Human Capital &amp; Earnings</x:v>
      </x:c>
      <x:c r="E22" s="26" t="str">
        <x:v>O99</x:v>
      </x:c>
      <x:c r="F22" s="26" t="str">
        <x:v>x</x:v>
      </x:c>
      <x:c r="G22" s="26" t="str">
        <x:v>See the controlling source cell and relevant overlap/evidence controls.</x:v>
      </x:c>
    </x:row>
    <x:row r="23">
      <x:c r="A23" s="26" t="str">
        <x:v>BCR-05</x:v>
      </x:c>
      <x:c r="B23" s="26" t="str">
        <x:v>Provisional alternative economic treatment of participant transfers — not Treasury-confirmed — 4%</x:v>
      </x:c>
      <x:c r="C23" s="26" t="str">
        <x:v>Provisional intermediate view</x:v>
      </x:c>
      <x:c r="D23" s="26" t="str">
        <x:v>Human Capital &amp; Earnings</x:v>
      </x:c>
      <x:c r="E23" s="26" t="str">
        <x:v>P99</x:v>
      </x:c>
      <x:c r="F23" s="26" t="str">
        <x:v>x</x:v>
      </x:c>
      <x:c r="G23" s="26" t="str">
        <x:v>See the controlling source cell and relevant overlap/evidence controls.</x:v>
      </x:c>
    </x:row>
    <x:row r="24">
      <x:c r="A24" s="26" t="str">
        <x:v>BCR-06</x:v>
      </x:c>
      <x:c r="B24" s="26" t="str">
        <x:v>Provisional alternative economic treatment of participant transfers — not Treasury-confirmed — 8%</x:v>
      </x:c>
      <x:c r="C24" s="26" t="str">
        <x:v>Provisional high view</x:v>
      </x:c>
      <x:c r="D24" s="26" t="str">
        <x:v>Human Capital &amp; Earnings</x:v>
      </x:c>
      <x:c r="E24" s="26" t="str">
        <x:v>Q99</x:v>
      </x:c>
      <x:c r="F24" s="26" t="str">
        <x:v>x</x:v>
      </x:c>
      <x:c r="G24" s="26" t="str">
        <x:v>See the controlling source cell and relevant overlap/evidence controls.</x:v>
      </x:c>
    </x:row>
    <x:row r="25">
      <x:c r="A25" s="26" t="str">
        <x:v>FISC-03</x:v>
      </x:c>
      <x:c r="B25" s="26" t="str">
        <x:v>Crown fiscal coverage at 1% uplift — 4%</x:v>
      </x:c>
      <x:c r="C25" s="26" t="str">
        <x:v>Crown fiscal perspective</x:v>
      </x:c>
      <x:c r="D25" s="26" t="str">
        <x:v>Human Capital &amp; Earnings</x:v>
      </x:c>
      <x:c r="E25" s="26" t="str">
        <x:v>M99</x:v>
      </x:c>
      <x:c r="F25" s="26" t="str">
        <x:v>x</x:v>
      </x:c>
      <x:c r="G25" s="26" t="str">
        <x:v>See the controlling source cell and relevant overlap/evidence controls.</x:v>
      </x:c>
    </x:row>
    <x:row r="26">
      <x:c r="A26" s="26" t="str">
        <x:v>BE-01</x:v>
      </x:c>
      <x:c r="B26" s="26" t="str">
        <x:v>Mature social break-even uplift — 2%</x:v>
      </x:c>
      <x:c r="C26" s="26" t="str">
        <x:v>Treasury-aligned lead break-even</x:v>
      </x:c>
      <x:c r="D26" s="26" t="str">
        <x:v>Human Capital &amp; Earnings</x:v>
      </x:c>
      <x:c r="E26" s="26" t="str">
        <x:v>J116</x:v>
      </x:c>
      <x:c r="F26" s="26" t="str">
        <x:v>%</x:v>
      </x:c>
      <x:c r="G26" s="26" t="str">
        <x:v>See the controlling source cell and relevant overlap/evidence controls.</x:v>
      </x:c>
    </x:row>
    <x:row r="27">
      <x:c r="A27" s="26" t="str">
        <x:v>BE-02</x:v>
      </x:c>
      <x:c r="B27" s="26" t="str">
        <x:v>Mature social break-even uplift — 4%</x:v>
      </x:c>
      <x:c r="C27" s="26" t="str">
        <x:v>Intermediate break-even</x:v>
      </x:c>
      <x:c r="D27" s="26" t="str">
        <x:v>Human Capital &amp; Earnings</x:v>
      </x:c>
      <x:c r="E27" s="26" t="str">
        <x:v>J117</x:v>
      </x:c>
      <x:c r="F27" s="26" t="str">
        <x:v>%</x:v>
      </x:c>
      <x:c r="G27" s="26" t="str">
        <x:v>See the controlling source cell and relevant overlap/evidence controls.</x:v>
      </x:c>
    </x:row>
    <x:row r="28">
      <x:c r="A28" s="26" t="str">
        <x:v>BE-03</x:v>
      </x:c>
      <x:c r="B28" s="26" t="str">
        <x:v>Mature social break-even uplift — 8%</x:v>
      </x:c>
      <x:c r="C28" s="26" t="str">
        <x:v>High-rate break-even</x:v>
      </x:c>
      <x:c r="D28" s="26" t="str">
        <x:v>Human Capital &amp; Earnings</x:v>
      </x:c>
      <x:c r="E28" s="26" t="str">
        <x:v>J118</x:v>
      </x:c>
      <x:c r="F28" s="26" t="str">
        <x:v>%</x:v>
      </x:c>
      <x:c r="G28" s="26" t="str">
        <x:v>See the controlling source cell and relevant overlap/evidence controls.</x:v>
      </x:c>
    </x:row>
    <x:row r="29">
      <x:c r="A29" s="26" t="str">
        <x:v>JUST-01</x:v>
      </x:c>
      <x:c r="B29" s="26" t="str">
        <x:v>Central 1% justice resource sensitivity</x:v>
      </x:c>
      <x:c r="C29" s="26" t="str">
        <x:v>Illustrative sensitivity only</x:v>
      </x:c>
      <x:c r="D29" s="26" t="str">
        <x:v>Justice Sensitivity</x:v>
      </x:c>
      <x:c r="E29" s="26" t="str">
        <x:v>G7</x:v>
      </x:c>
      <x:c r="F29" s="26" t="str">
        <x:v>NZD</x:v>
      </x:c>
      <x:c r="G29" s="26" t="str">
        <x:v>See the controlling source cell and relevant overlap/evidence controls.</x:v>
      </x:c>
    </x:row>
    <x:row r="30">
      <x:c r="A30" s="26" t="str">
        <x:v>GATE-01</x:v>
      </x:c>
      <x:c r="B30" s="26" t="str">
        <x:v>Minimum projected lifetime social BCR</x:v>
      </x:c>
      <x:c r="C30" s="26" t="str">
        <x:v>Provisional stage-gate threshold</x:v>
      </x:c>
      <x:c r="D30" s="26" t="str">
        <x:v>Assumptions</x:v>
      </x:c>
      <x:c r="E30" s="26" t="str">
        <x:v>E185</x:v>
      </x:c>
      <x:c r="F30" s="26" t="str">
        <x:v>x</x:v>
      </x:c>
      <x:c r="G30" s="26" t="str">
        <x:v>See the controlling source cell and relevant overlap/evidence controls.</x:v>
      </x:c>
    </x:row>
    <x:row r="31">
      <x:c r="A31" s="26" t="str">
        <x:v>GATE-02</x:v>
      </x:c>
      <x:c r="B31" s="26" t="str">
        <x:v>Minimum projected Crown fiscal coverage</x:v>
      </x:c>
      <x:c r="C31" s="26" t="str">
        <x:v>Provisional stage-gate threshold</x:v>
      </x:c>
      <x:c r="D31" s="26" t="str">
        <x:v>Assumptions</x:v>
      </x:c>
      <x:c r="E31" s="26" t="str">
        <x:v>E186</x:v>
      </x:c>
      <x:c r="F31" s="26" t="str">
        <x:v>x</x:v>
      </x:c>
      <x:c r="G31" s="26" t="str">
        <x:v>See the controlling source cell and relevant overlap/evidence controls.</x:v>
      </x:c>
    </x:row>
  </x:sheetData>
  <x:mergeCells>
    <x:mergeCell ref="A1:G1"/>
  </x:mergeCells>
  <x:pageMargins left="0.7" right="0.7" top="0.75" bottom="0.75" header="0.3" footer="0.3"/>
</x:worksheet>
</file>

<file path=xl/worksheets/sheet6.xml><?xml version="1.0" encoding="utf-8"?>
<x:worksheet xmlns:x="http://schemas.openxmlformats.org/spreadsheetml/2006/main">
  <x:sheetViews>
    <x:sheetView showGridLines="0" workbookViewId="0"/>
  </x:sheetViews>
  <x:sheetFormatPr defaultRowHeight="15"/>
  <x:cols>
    <x:col min="1" max="1" width="12" hidden="0" customWidth="1"/>
    <x:col min="2" max="2" width="43" hidden="0" customWidth="1"/>
    <x:col min="3" max="3" width="25" hidden="0" customWidth="1"/>
    <x:col min="4" max="4" width="14" hidden="0" customWidth="1"/>
    <x:col min="5" max="5" width="20" hidden="0" customWidth="1"/>
    <x:col min="6" max="6" width="20" hidden="0" customWidth="1"/>
    <x:col min="7" max="7" width="20" hidden="0" customWidth="1"/>
    <x:col min="8" max="8" width="36" hidden="0" customWidth="1"/>
  </x:cols>
  <x:sheetData>
    <x:row r="1">
      <x:c r="A1" s="1132" t="str">
        <x:v>Core Model Checksum and Key-Output Reconciliation</x:v>
      </x:c>
      <x:c r="B1" s="1132"/>
      <x:c r="C1" s="1132"/>
      <x:c r="D1" s="1132"/>
      <x:c r="E1" s="1132"/>
      <x:c r="F1" s="1132"/>
      <x:c r="G1" s="1132"/>
      <x:c r="H1" s="1132"/>
    </x:row>
    <x:row r="2">
      <x:c r="A2" s="1126" t="str">
        <x:v>Each actual result is linked to the controlling cell in this workbook. The expected value is a snapshot from the single corrected master. Every numerical difference must equal zero.</x:v>
      </x:c>
      <x:c r="B2" s="1126"/>
      <x:c r="C2" s="1126"/>
      <x:c r="D2" s="1126"/>
      <x:c r="E2" s="1126"/>
      <x:c r="F2" s="1126"/>
      <x:c r="G2" s="1126"/>
      <x:c r="H2" s="1126"/>
    </x:row>
    <x:row r="3">
      <x:c r="A3" s="26"/>
      <x:c r="B3" s="26"/>
      <x:c r="C3" s="26"/>
      <x:c r="D3" s="26"/>
      <x:c r="E3" s="26"/>
      <x:c r="F3" s="26"/>
      <x:c r="G3" s="26"/>
      <x:c r="H3" s="26"/>
    </x:row>
    <x:row r="4">
      <x:c r="A4" s="1129" t="str">
        <x:v>Metric ID</x:v>
      </x:c>
      <x:c r="B4" s="1129" t="str">
        <x:v>Metric</x:v>
      </x:c>
      <x:c r="C4" s="1129" t="str">
        <x:v>Source sheet</x:v>
      </x:c>
      <x:c r="D4" s="1129" t="str">
        <x:v>Source cell</x:v>
      </x:c>
      <x:c r="E4" s="1129" t="str">
        <x:v>Actual result</x:v>
      </x:c>
      <x:c r="F4" s="1129" t="str">
        <x:v>Expected master result</x:v>
      </x:c>
      <x:c r="G4" s="1129" t="str">
        <x:v>Difference</x:v>
      </x:c>
      <x:c r="H4" s="1129" t="str">
        <x:v>Unit / perspective</x:v>
      </x:c>
    </x:row>
    <x:row r="5">
      <x:c r="A5" s="26" t="str">
        <x:v>COST-01</x:v>
      </x:c>
      <x:c r="B5" s="26" t="str">
        <x:v>Stage 0 central cost</x:v>
      </x:c>
      <x:c r="C5" s="26" t="str">
        <x:v>Stage 0 - Year 0</x:v>
      </x:c>
      <x:c r="D5" s="26" t="str">
        <x:v>H54</x:v>
      </x:c>
      <x:c r="E5" s="1138" t="n">
        <x:f>'Stage 0 - Year 0'!H54</x:f>
        <x:v>5317875</x:v>
      </x:c>
      <x:c r="F5" s="1138" t="n">
        <x:v>5317875</x:v>
      </x:c>
      <x:c r="G5" s="1138" t="n">
        <x:f>IF(AND(ISNUMBER(E5),ISNUMBER(F5)),E5-F5,IF(E5=F5,0,NA()))</x:f>
        <x:v>0</x:v>
      </x:c>
      <x:c r="H5" s="26" t="str">
        <x:v>NZD — Stage 0 feasibility and co-design</x:v>
      </x:c>
    </x:row>
    <x:row r="6">
      <x:c r="A6" s="26" t="str">
        <x:v>COST-02</x:v>
      </x:c>
      <x:c r="B6" s="26" t="str">
        <x:v>Three-year pilot central cost</x:v>
      </x:c>
      <x:c r="C6" s="26" t="str">
        <x:v>Stage 1 - Pilot</x:v>
      </x:c>
      <x:c r="D6" s="26" t="str">
        <x:v>E6</x:v>
      </x:c>
      <x:c r="E6" s="1138" t="n">
        <x:f>'Stage 1 - Pilot'!E6</x:f>
        <x:v>97579970.263125</x:v>
      </x:c>
      <x:c r="F6" s="1138" t="n">
        <x:v>97579970.263125</x:v>
      </x:c>
      <x:c r="G6" s="1138" t="n">
        <x:f>IF(AND(ISNUMBER(E6),ISNUMBER(F6)),E6-F6,IF(E6=F6,0,NA()))</x:f>
        <x:v>0</x:v>
      </x:c>
      <x:c r="H6" s="26" t="str">
        <x:v>NZD — Bounded pilot</x:v>
      </x:c>
    </x:row>
    <x:row r="7">
      <x:c r="A7" s="26" t="str">
        <x:v>COST-03</x:v>
      </x:c>
      <x:c r="B7" s="26" t="str">
        <x:v>Mature annual national cost</x:v>
      </x:c>
      <x:c r="C7" s="26" t="str">
        <x:v>Stage 2 - National</x:v>
      </x:c>
      <x:c r="D7" s="26" t="str">
        <x:v>K48</x:v>
      </x:c>
      <x:c r="E7" s="1138" t="n">
        <x:f>'Stage 2 - National'!K48</x:f>
        <x:v>1526137729.0833335</x:v>
      </x:c>
      <x:c r="F7" s="1138" t="n">
        <x:v>1526137729.0833335</x:v>
      </x:c>
      <x:c r="G7" s="1138" t="n">
        <x:f>IF(AND(ISNUMBER(E7),ISNUMBER(F7)),E7-F7,IF(E7=F7,0,NA()))</x:f>
        <x:v>0</x:v>
      </x:c>
      <x:c r="H7" s="26" t="str">
        <x:v>NZD/year — Conditional national scale</x:v>
      </x:c>
    </x:row>
    <x:row r="8">
      <x:c r="A8" s="26" t="str">
        <x:v>COST-04</x:v>
      </x:c>
      <x:c r="B8" s="26" t="str">
        <x:v>Universal core annual cost</x:v>
      </x:c>
      <x:c r="C8" s="26" t="str">
        <x:v>Delivery Scenarios</x:v>
      </x:c>
      <x:c r="D8" s="26" t="str">
        <x:v>G20</x:v>
      </x:c>
      <x:c r="E8" s="1138" t="n">
        <x:f>'Delivery Scenarios'!G20</x:f>
        <x:v>825136870.3583333</x:v>
      </x:c>
      <x:c r="F8" s="1138" t="n">
        <x:v>825136870.3583333</x:v>
      </x:c>
      <x:c r="G8" s="1138" t="n">
        <x:f>IF(AND(ISNUMBER(E8),ISNUMBER(F8)),E8-F8,IF(E8=F8,0,NA()))</x:f>
        <x:v>0</x:v>
      </x:c>
      <x:c r="H8" s="26" t="str">
        <x:v>NZD/year — Structural scenario</x:v>
      </x:c>
    </x:row>
    <x:row r="9">
      <x:c r="A9" s="26" t="str">
        <x:v>COST-05</x:v>
      </x:c>
      <x:c r="B9" s="26" t="str">
        <x:v>Core plus targeted annual cost</x:v>
      </x:c>
      <x:c r="C9" s="26" t="str">
        <x:v>Delivery Scenarios</x:v>
      </x:c>
      <x:c r="D9" s="26" t="str">
        <x:v>G21</x:v>
      </x:c>
      <x:c r="E9" s="1138" t="n">
        <x:f>'Delivery Scenarios'!G21</x:f>
        <x:v>875015750.3583333</x:v>
      </x:c>
      <x:c r="F9" s="1138" t="n">
        <x:v>875015750.3583333</x:v>
      </x:c>
      <x:c r="G9" s="1138" t="n">
        <x:f>IF(AND(ISNUMBER(E9),ISNUMBER(F9)),E9-F9,IF(E9=F9,0,NA()))</x:f>
        <x:v>0</x:v>
      </x:c>
      <x:c r="H9" s="26" t="str">
        <x:v>NZD/year — Leading testable structural scenario</x:v>
      </x:c>
    </x:row>
    <x:row r="10">
      <x:c r="A10" s="26" t="str">
        <x:v>LC-01</x:v>
      </x:c>
      <x:c r="B10" s="26" t="str">
        <x:v>Five-year Learning Capital contribution per participant</x:v>
      </x:c>
      <x:c r="C10" s="26" t="str">
        <x:v>Learning Capital &amp; ROI</x:v>
      </x:c>
      <x:c r="D10" s="26" t="str">
        <x:v>C23</x:v>
      </x:c>
      <x:c r="E10" s="1138" t="n">
        <x:f>'Learning Capital &amp; ROI'!C23</x:f>
        <x:v>9750</x:v>
      </x:c>
      <x:c r="F10" s="1138" t="n">
        <x:v>9750</x:v>
      </x:c>
      <x:c r="G10" s="1138" t="n">
        <x:f>IF(AND(ISNUMBER(E10),ISNUMBER(F10)),E10-F10,IF(E10=F10,0,NA()))</x:f>
        <x:v>0</x:v>
      </x:c>
      <x:c r="H10" s="26" t="str">
        <x:v>NZD/person — Participant outcome</x:v>
      </x:c>
    </x:row>
    <x:row r="11">
      <x:c r="A11" s="26" t="str">
        <x:v>LC-02</x:v>
      </x:c>
      <x:c r="B11" s="26" t="str">
        <x:v>Central nominal closing Learning Capital balance</x:v>
      </x:c>
      <x:c r="C11" s="26" t="str">
        <x:v>Learning Capital &amp; ROI</x:v>
      </x:c>
      <x:c r="D11" s="26" t="str">
        <x:v>C26</x:v>
      </x:c>
      <x:c r="E11" s="1138" t="n">
        <x:f>'Learning Capital &amp; ROI'!C26</x:f>
        <x:v>10681.574885879425</x:v>
      </x:c>
      <x:c r="F11" s="1138" t="n">
        <x:v>10681.574885879425</x:v>
      </x:c>
      <x:c r="G11" s="1138" t="n">
        <x:f>IF(AND(ISNUMBER(E11),ISNUMBER(F11)),E11-F11,IF(E11=F11,0,NA()))</x:f>
        <x:v>0</x:v>
      </x:c>
      <x:c r="H11" s="26" t="str">
        <x:v>NZD/person — Participant outcome</x:v>
      </x:c>
    </x:row>
    <x:row r="12">
      <x:c r="A12" s="26" t="str">
        <x:v>FISC-01</x:v>
      </x:c>
      <x:c r="B12" s="26" t="str">
        <x:v>Official fair-value cost avoided</x:v>
      </x:c>
      <x:c r="C12" s="26" t="str">
        <x:v>Cohort Bridge</x:v>
      </x:c>
      <x:c r="D12" s="26" t="str">
        <x:v>D28</x:v>
      </x:c>
      <x:c r="E12" s="1138" t="n">
        <x:f>'Cohort Bridge'!D28</x:f>
        <x:v>58449915.55259848</x:v>
      </x:c>
      <x:c r="F12" s="1138" t="n">
        <x:v>58449915.55259848</x:v>
      </x:c>
      <x:c r="G12" s="1138" t="n">
        <x:f>IF(AND(ISNUMBER(E12),ISNUMBER(F12)),E12-F12,IF(E12=F12,0,NA()))</x:f>
        <x:v>0</x:v>
      </x:c>
      <x:c r="H12" s="26" t="str">
        <x:v>NZD/cohort — Crown fiscal offset</x:v>
      </x:c>
    </x:row>
    <x:row r="13">
      <x:c r="A13" s="26" t="str">
        <x:v>FISC-02</x:v>
      </x:c>
      <x:c r="B13" s="26" t="str">
        <x:v>Net Learning Capital Crown fiscal offset</x:v>
      </x:c>
      <x:c r="C13" s="26" t="str">
        <x:v>Cohort Bridge</x:v>
      </x:c>
      <x:c r="D13" s="26" t="str">
        <x:v>D30</x:v>
      </x:c>
      <x:c r="E13" s="1138" t="n">
        <x:f>'Cohort Bridge'!D30</x:f>
        <x:v>5827697.152598478</x:v>
      </x:c>
      <x:c r="F13" s="1138" t="n">
        <x:v>5827697.152598478</x:v>
      </x:c>
      <x:c r="G13" s="1138" t="n">
        <x:f>IF(AND(ISNUMBER(E13),ISNUMBER(F13)),E13-F13,IF(E13=F13,0,NA()))</x:f>
        <x:v>0</x:v>
      </x:c>
      <x:c r="H13" s="26" t="str">
        <x:v>NZD PV/cohort — Crown fiscal effect</x:v>
      </x:c>
    </x:row>
    <x:row r="14">
      <x:c r="A14" s="26" t="str">
        <x:v>HC-01</x:v>
      </x:c>
      <x:c r="B14" s="26" t="str">
        <x:v>Annual eligible cohort</x:v>
      </x:c>
      <x:c r="C14" s="26" t="str">
        <x:v>Human Capital &amp; Earnings</x:v>
      </x:c>
      <x:c r="D14" s="26" t="str">
        <x:v>B29</x:v>
      </x:c>
      <x:c r="E14" s="1138" t="n">
        <x:f>'Human Capital &amp; Earnings'!B29</x:f>
        <x:v>62348.6</x:v>
      </x:c>
      <x:c r="F14" s="1138" t="n">
        <x:v>62348.6</x:v>
      </x:c>
      <x:c r="G14" s="1138" t="n">
        <x:f>IF(AND(ISNUMBER(E14),ISNUMBER(F14)),E14-F14,IF(E14=F14,0,NA()))</x:f>
        <x:v>0</x:v>
      </x:c>
      <x:c r="H14" s="26" t="str">
        <x:v>people — Population reconciliation</x:v>
      </x:c>
    </x:row>
    <x:row r="15">
      <x:c r="A15" s="26" t="str">
        <x:v>HC-02</x:v>
      </x:c>
      <x:c r="B15" s="26" t="str">
        <x:v>Broad non-overlap cohort</x:v>
      </x:c>
      <x:c r="C15" s="26" t="str">
        <x:v>Human Capital &amp; Earnings</x:v>
      </x:c>
      <x:c r="D15" s="26" t="str">
        <x:v>B31</x:v>
      </x:c>
      <x:c r="E15" s="1138" t="n">
        <x:f>'Human Capital &amp; Earnings'!B31</x:f>
        <x:v>60945.756499999996</x:v>
      </x:c>
      <x:c r="F15" s="1138" t="n">
        <x:v>60945.756499999996</x:v>
      </x:c>
      <x:c r="G15" s="1138" t="n">
        <x:f>IF(AND(ISNUMBER(E15),ISNUMBER(F15)),E15-F15,IF(E15=F15,0,NA()))</x:f>
        <x:v>0</x:v>
      </x:c>
      <x:c r="H15" s="26" t="str">
        <x:v>people — Population reconciliation</x:v>
      </x:c>
    </x:row>
    <x:row r="16">
      <x:c r="A16" s="26" t="str">
        <x:v>HC-03</x:v>
      </x:c>
      <x:c r="B16" s="26" t="str">
        <x:v>Effective affected employed population</x:v>
      </x:c>
      <x:c r="C16" s="26" t="str">
        <x:v>Human Capital &amp; Earnings</x:v>
      </x:c>
      <x:c r="D16" s="26" t="str">
        <x:v>B41</x:v>
      </x:c>
      <x:c r="E16" s="1138" t="n">
        <x:f>'Human Capital &amp; Earnings'!B41</x:f>
        <x:v>8583.853270349473</x:v>
      </x:c>
      <x:c r="F16" s="1138" t="n">
        <x:v>8583.853270349473</x:v>
      </x:c>
      <x:c r="G16" s="1138" t="n">
        <x:f>IF(AND(ISNUMBER(E16),ISNUMBER(F16)),E16-F16,IF(E16=F16,0,NA()))</x:f>
        <x:v>0</x:v>
      </x:c>
      <x:c r="H16" s="26" t="str">
        <x:v>people — Population reconciliation</x:v>
      </x:c>
    </x:row>
    <x:row r="17">
      <x:c r="A17" s="26" t="str">
        <x:v>HC-04</x:v>
      </x:c>
      <x:c r="B17" s="26" t="str">
        <x:v>1% value-weighted equivalent uplift — broad cohort</x:v>
      </x:c>
      <x:c r="C17" s="26" t="str">
        <x:v>Human Capital &amp; Earnings</x:v>
      </x:c>
      <x:c r="D17" s="26" t="str">
        <x:v>D140</x:v>
      </x:c>
      <x:c r="E17" s="1139" t="n">
        <x:f>'Human Capital &amp; Earnings'!D140</x:f>
        <x:v>0.00165699</x:v>
      </x:c>
      <x:c r="F17" s="1139" t="n">
        <x:v>0.00165699</x:v>
      </x:c>
      <x:c r="G17" s="1139" t="n">
        <x:f>IF(AND(ISNUMBER(E17),ISNUMBER(F17)),E17-F17,IF(E17=F17,0,NA()))</x:f>
        <x:v>0</x:v>
      </x:c>
      <x:c r="H17" s="26" t="str">
        <x:v>% — Earnings interpretation</x:v>
      </x:c>
    </x:row>
    <x:row r="18">
      <x:c r="A18" s="26" t="str">
        <x:v>HC-05</x:v>
      </x:c>
      <x:c r="B18" s="26" t="str">
        <x:v>1% value-weighted equivalent uplift — full cohort</x:v>
      </x:c>
      <x:c r="C18" s="26" t="str">
        <x:v>Human Capital &amp; Earnings</x:v>
      </x:c>
      <x:c r="D18" s="26" t="str">
        <x:v>D141</x:v>
      </x:c>
      <x:c r="E18" s="1139" t="n">
        <x:f>'Human Capital &amp; Earnings'!D141</x:f>
        <x:v>0.0016197077249999999</x:v>
      </x:c>
      <x:c r="F18" s="1139" t="n">
        <x:v>0.0016197077249999999</x:v>
      </x:c>
      <x:c r="G18" s="1139" t="n">
        <x:f>IF(AND(ISNUMBER(E18),ISNUMBER(F18)),E18-F18,IF(E18=F18,0,NA()))</x:f>
        <x:v>0</x:v>
      </x:c>
      <x:c r="H18" s="26" t="str">
        <x:v>% — Earnings interpretation</x:v>
      </x:c>
    </x:row>
    <x:row r="19">
      <x:c r="A19" s="26" t="str">
        <x:v>HC-06</x:v>
      </x:c>
      <x:c r="B19" s="26" t="str">
        <x:v>1% simple headcount-weighted equivalent — full cohort</x:v>
      </x:c>
      <x:c r="C19" s="26" t="str">
        <x:v>Human Capital &amp; Earnings</x:v>
      </x:c>
      <x:c r="D19" s="26" t="str">
        <x:v>D142</x:v>
      </x:c>
      <x:c r="E19" s="1139" t="n">
        <x:f>'Human Capital &amp; Earnings'!D142</x:f>
        <x:v>0.0013767515662499999</x:v>
      </x:c>
      <x:c r="F19" s="1139" t="n">
        <x:v>0.0013767515662499999</x:v>
      </x:c>
      <x:c r="G19" s="1139" t="n">
        <x:f>IF(AND(ISNUMBER(E19),ISNUMBER(F19)),E19-F19,IF(E19=F19,0,NA()))</x:f>
        <x:v>0</x:v>
      </x:c>
      <x:c r="H19" s="26" t="str">
        <x:v>% — Earnings interpretation</x:v>
      </x:c>
    </x:row>
    <x:row r="20">
      <x:c r="A20" s="26" t="str">
        <x:v>BCR-01</x:v>
      </x:c>
      <x:c r="B20" s="26" t="str">
        <x:v>Full-expenditure BCR at 1% uplift — 2%</x:v>
      </x:c>
      <x:c r="C20" s="26" t="str">
        <x:v>Human Capital &amp; Earnings</x:v>
      </x:c>
      <x:c r="D20" s="26" t="str">
        <x:v>J99</x:v>
      </x:c>
      <x:c r="E20" s="1140" t="n">
        <x:f>'Human Capital &amp; Earnings'!J99</x:f>
        <x:v>0.3817901563689555</x:v>
      </x:c>
      <x:c r="F20" s="1140" t="n">
        <x:v>0.3817901563689555</x:v>
      </x:c>
      <x:c r="G20" s="1140" t="n">
        <x:f>IF(AND(ISNUMBER(E20),ISNUMBER(F20)),E20-F20,IF(E20=F20,0,NA()))</x:f>
        <x:v>0</x:v>
      </x:c>
      <x:c r="H20" s="26" t="str">
        <x:v>x — Treasury-aligned lead social view</x:v>
      </x:c>
    </x:row>
    <x:row r="21">
      <x:c r="A21" s="26" t="str">
        <x:v>BCR-02</x:v>
      </x:c>
      <x:c r="B21" s="26" t="str">
        <x:v>Full-expenditure BCR at 1% uplift — 4%</x:v>
      </x:c>
      <x:c r="C21" s="26" t="str">
        <x:v>Human Capital &amp; Earnings</x:v>
      </x:c>
      <x:c r="D21" s="26" t="str">
        <x:v>K99</x:v>
      </x:c>
      <x:c r="E21" s="1140" t="n">
        <x:f>'Human Capital &amp; Earnings'!K99</x:f>
        <x:v>0.3410767689181383</x:v>
      </x:c>
      <x:c r="F21" s="1140" t="n">
        <x:v>0.3410767689181383</x:v>
      </x:c>
      <x:c r="G21" s="1140" t="n">
        <x:f>IF(AND(ISNUMBER(E21),ISNUMBER(F21)),E21-F21,IF(E21=F21,0,NA()))</x:f>
        <x:v>0</x:v>
      </x:c>
      <x:c r="H21" s="26" t="str">
        <x:v>x — Intermediate sensitivity</x:v>
      </x:c>
    </x:row>
    <x:row r="22">
      <x:c r="A22" s="26" t="str">
        <x:v>BCR-03</x:v>
      </x:c>
      <x:c r="B22" s="26" t="str">
        <x:v>Full-expenditure BCR at 1% uplift — 8%</x:v>
      </x:c>
      <x:c r="C22" s="26" t="str">
        <x:v>Human Capital &amp; Earnings</x:v>
      </x:c>
      <x:c r="D22" s="26" t="str">
        <x:v>L99</x:v>
      </x:c>
      <x:c r="E22" s="1140" t="n">
        <x:f>'Human Capital &amp; Earnings'!L99</x:f>
        <x:v>0.3016465071613768</x:v>
      </x:c>
      <x:c r="F22" s="1140" t="n">
        <x:v>0.3016465071613768</x:v>
      </x:c>
      <x:c r="G22" s="1140" t="n">
        <x:f>IF(AND(ISNUMBER(E22),ISNUMBER(F22)),E22-F22,IF(E22=F22,0,NA()))</x:f>
        <x:v>0</x:v>
      </x:c>
      <x:c r="H22" s="26" t="str">
        <x:v>x — High sensitivity</x:v>
      </x:c>
    </x:row>
    <x:row r="23">
      <x:c r="A23" s="26" t="str">
        <x:v>BCR-04</x:v>
      </x:c>
      <x:c r="B23" s="26" t="str">
        <x:v>Provisional alternative economic treatment of participant transfers — not Treasury-confirmed — 2%</x:v>
      </x:c>
      <x:c r="C23" s="26" t="str">
        <x:v>Human Capital &amp; Earnings</x:v>
      </x:c>
      <x:c r="D23" s="26" t="str">
        <x:v>O99</x:v>
      </x:c>
      <x:c r="E23" s="1140" t="n">
        <x:f>'Human Capital &amp; Earnings'!O99</x:f>
        <x:v>1.8775030857228854</x:v>
      </x:c>
      <x:c r="F23" s="1140" t="n">
        <x:v>1.8775030857228854</x:v>
      </x:c>
      <x:c r="G23" s="1140" t="n">
        <x:f>IF(AND(ISNUMBER(E23),ISNUMBER(F23)),E23-F23,IF(E23=F23,0,NA()))</x:f>
        <x:v>0</x:v>
      </x:c>
      <x:c r="H23" s="26" t="str">
        <x:v>x — Provisional national economic view</x:v>
      </x:c>
    </x:row>
    <x:row r="24">
      <x:c r="A24" s="26" t="str">
        <x:v>BCR-05</x:v>
      </x:c>
      <x:c r="B24" s="26" t="str">
        <x:v>Provisional alternative economic treatment of participant transfers — not Treasury-confirmed — 4%</x:v>
      </x:c>
      <x:c r="C24" s="26" t="str">
        <x:v>Human Capital &amp; Earnings</x:v>
      </x:c>
      <x:c r="D24" s="26" t="str">
        <x:v>P99</x:v>
      </x:c>
      <x:c r="E24" s="1140" t="n">
        <x:f>'Human Capital &amp; Earnings'!P99</x:f>
        <x:v>1.6772896719038268</x:v>
      </x:c>
      <x:c r="F24" s="1140" t="n">
        <x:v>1.6772896719038268</x:v>
      </x:c>
      <x:c r="G24" s="1140" t="n">
        <x:f>IF(AND(ISNUMBER(E24),ISNUMBER(F24)),E24-F24,IF(E24=F24,0,NA()))</x:f>
        <x:v>0</x:v>
      </x:c>
      <x:c r="H24" s="26" t="str">
        <x:v>x — Provisional intermediate view</x:v>
      </x:c>
    </x:row>
    <x:row r="25">
      <x:c r="A25" s="26" t="str">
        <x:v>BCR-06</x:v>
      </x:c>
      <x:c r="B25" s="26" t="str">
        <x:v>Provisional alternative economic treatment of participant transfers — not Treasury-confirmed — 8%</x:v>
      </x:c>
      <x:c r="C25" s="26" t="str">
        <x:v>Human Capital &amp; Earnings</x:v>
      </x:c>
      <x:c r="D25" s="26" t="str">
        <x:v>Q99</x:v>
      </x:c>
      <x:c r="E25" s="1140" t="n">
        <x:f>'Human Capital &amp; Earnings'!Q99</x:f>
        <x:v>1.4833861966983553</x:v>
      </x:c>
      <x:c r="F25" s="1140" t="n">
        <x:v>1.4833861966983553</x:v>
      </x:c>
      <x:c r="G25" s="1140" t="n">
        <x:f>IF(AND(ISNUMBER(E25),ISNUMBER(F25)),E25-F25,IF(E25=F25,0,NA()))</x:f>
        <x:v>0</x:v>
      </x:c>
      <x:c r="H25" s="26" t="str">
        <x:v>x — Provisional high view</x:v>
      </x:c>
    </x:row>
    <x:row r="26">
      <x:c r="A26" s="26" t="str">
        <x:v>FISC-03</x:v>
      </x:c>
      <x:c r="B26" s="26" t="str">
        <x:v>Crown fiscal coverage at 1% uplift — 4%</x:v>
      </x:c>
      <x:c r="C26" s="26" t="str">
        <x:v>Human Capital &amp; Earnings</x:v>
      </x:c>
      <x:c r="D26" s="26" t="str">
        <x:v>M99</x:v>
      </x:c>
      <x:c r="E26" s="1140" t="n">
        <x:f>'Human Capital &amp; Earnings'!M99</x:f>
        <x:v>0.13913014189776074</x:v>
      </x:c>
      <x:c r="F26" s="1140" t="n">
        <x:v>0.13913014189776074</x:v>
      </x:c>
      <x:c r="G26" s="1140" t="n">
        <x:f>IF(AND(ISNUMBER(E26),ISNUMBER(F26)),E26-F26,IF(E26=F26,0,NA()))</x:f>
        <x:v>0</x:v>
      </x:c>
      <x:c r="H26" s="26" t="str">
        <x:v>x — Crown fiscal perspective</x:v>
      </x:c>
    </x:row>
    <x:row r="27">
      <x:c r="A27" s="26" t="str">
        <x:v>BE-01</x:v>
      </x:c>
      <x:c r="B27" s="26" t="str">
        <x:v>Mature social break-even uplift — 2%</x:v>
      </x:c>
      <x:c r="C27" s="26" t="str">
        <x:v>Human Capital &amp; Earnings</x:v>
      </x:c>
      <x:c r="D27" s="26" t="str">
        <x:v>J116</x:v>
      </x:c>
      <x:c r="E27" s="1139" t="n">
        <x:f>'Human Capital &amp; Earnings'!J116</x:f>
        <x:v>0.058127484370145754</x:v>
      </x:c>
      <x:c r="F27" s="1139" t="n">
        <x:v>0.058127484370145754</x:v>
      </x:c>
      <x:c r="G27" s="1139" t="n">
        <x:f>IF(AND(ISNUMBER(E27),ISNUMBER(F27)),E27-F27,IF(E27=F27,0,NA()))</x:f>
        <x:v>0</x:v>
      </x:c>
      <x:c r="H27" s="26" t="str">
        <x:v>% — Treasury-aligned lead break-even</x:v>
      </x:c>
    </x:row>
    <x:row r="28">
      <x:c r="A28" s="26" t="str">
        <x:v>BE-02</x:v>
      </x:c>
      <x:c r="B28" s="26" t="str">
        <x:v>Mature social break-even uplift — 4%</x:v>
      </x:c>
      <x:c r="C28" s="26" t="str">
        <x:v>Human Capital &amp; Earnings</x:v>
      </x:c>
      <x:c r="D28" s="26" t="str">
        <x:v>J117</x:v>
      </x:c>
      <x:c r="E28" s="1139" t="n">
        <x:f>'Human Capital &amp; Earnings'!J117</x:f>
        <x:v>0.0851002355478312</x:v>
      </x:c>
      <x:c r="F28" s="1139" t="n">
        <x:v>0.0851002355478312</x:v>
      </x:c>
      <x:c r="G28" s="1139" t="n">
        <x:f>IF(AND(ISNUMBER(E28),ISNUMBER(F28)),E28-F28,IF(E28=F28,0,NA()))</x:f>
        <x:v>0</x:v>
      </x:c>
      <x:c r="H28" s="26" t="str">
        <x:v>% — Intermediate break-even</x:v>
      </x:c>
    </x:row>
    <x:row r="29">
      <x:c r="A29" s="26" t="str">
        <x:v>BE-03</x:v>
      </x:c>
      <x:c r="B29" s="26" t="str">
        <x:v>Mature social break-even uplift — 8%</x:v>
      </x:c>
      <x:c r="C29" s="26" t="str">
        <x:v>Human Capital &amp; Earnings</x:v>
      </x:c>
      <x:c r="D29" s="26" t="str">
        <x:v>J118</x:v>
      </x:c>
      <x:c r="E29" s="1139" t="n">
        <x:f>'Human Capital &amp; Earnings'!J118</x:f>
        <x:v>0.15455998337625385</x:v>
      </x:c>
      <x:c r="F29" s="1139" t="n">
        <x:v>0.15455998337625385</x:v>
      </x:c>
      <x:c r="G29" s="1139" t="n">
        <x:f>IF(AND(ISNUMBER(E29),ISNUMBER(F29)),E29-F29,IF(E29=F29,0,NA()))</x:f>
        <x:v>0</x:v>
      </x:c>
      <x:c r="H29" s="26" t="str">
        <x:v>% — High-rate break-even</x:v>
      </x:c>
    </x:row>
    <x:row r="30">
      <x:c r="A30" s="26" t="str">
        <x:v>JUST-01</x:v>
      </x:c>
      <x:c r="B30" s="26" t="str">
        <x:v>Central 1% justice resource sensitivity</x:v>
      </x:c>
      <x:c r="C30" s="26" t="str">
        <x:v>Justice Sensitivity</x:v>
      </x:c>
      <x:c r="D30" s="26" t="str">
        <x:v>G7</x:v>
      </x:c>
      <x:c r="E30" s="1138" t="n">
        <x:f>'Justice Sensitivity'!G7</x:f>
        <x:v>2964909.73725</x:v>
      </x:c>
      <x:c r="F30" s="1138" t="n">
        <x:v>2964909.73725</x:v>
      </x:c>
      <x:c r="G30" s="1138" t="n">
        <x:f>IF(AND(ISNUMBER(E30),ISNUMBER(F30)),E30-F30,IF(E30=F30,0,NA()))</x:f>
        <x:v>0</x:v>
      </x:c>
      <x:c r="H30" s="26" t="str">
        <x:v>NZD — Illustrative sensitivity only</x:v>
      </x:c>
    </x:row>
    <x:row r="31">
      <x:c r="A31" s="26" t="str">
        <x:v>GATE-01</x:v>
      </x:c>
      <x:c r="B31" s="26" t="str">
        <x:v>Minimum projected lifetime social BCR</x:v>
      </x:c>
      <x:c r="C31" s="26" t="str">
        <x:v>Assumptions</x:v>
      </x:c>
      <x:c r="D31" s="26" t="str">
        <x:v>E185</x:v>
      </x:c>
      <x:c r="E31" s="1140" t="n">
        <x:f>'Assumptions'!E185</x:f>
        <x:v>1</x:v>
      </x:c>
      <x:c r="F31" s="1140" t="n">
        <x:v>1</x:v>
      </x:c>
      <x:c r="G31" s="1140" t="n">
        <x:f>IF(AND(ISNUMBER(E31),ISNUMBER(F31)),E31-F31,IF(E31=F31,0,NA()))</x:f>
        <x:v>0</x:v>
      </x:c>
      <x:c r="H31" s="26" t="str">
        <x:v>x — Provisional stage-gate threshold</x:v>
      </x:c>
    </x:row>
    <x:row r="32">
      <x:c r="A32" s="26" t="str">
        <x:v>GATE-02</x:v>
      </x:c>
      <x:c r="B32" s="26" t="str">
        <x:v>Minimum projected Crown fiscal coverage</x:v>
      </x:c>
      <x:c r="C32" s="26" t="str">
        <x:v>Assumptions</x:v>
      </x:c>
      <x:c r="D32" s="26" t="str">
        <x:v>E186</x:v>
      </x:c>
      <x:c r="E32" s="1140" t="n">
        <x:f>'Assumptions'!E186</x:f>
        <x:v>0.35</x:v>
      </x:c>
      <x:c r="F32" s="1140" t="n">
        <x:v>0.35</x:v>
      </x:c>
      <x:c r="G32" s="1140" t="n">
        <x:f>IF(AND(ISNUMBER(E32),ISNUMBER(F32)),E32-F32,IF(E32=F32,0,NA()))</x:f>
        <x:v>0</x:v>
      </x:c>
      <x:c r="H32" s="26" t="str">
        <x:v>x — Provisional stage-gate threshold</x:v>
      </x:c>
    </x:row>
    <x:row r="33">
      <x:c r="A33" s="26"/>
      <x:c r="B33" s="26"/>
      <x:c r="C33" s="26"/>
      <x:c r="D33" s="26"/>
      <x:c r="E33" s="26"/>
      <x:c r="F33" s="26"/>
      <x:c r="G33" s="26"/>
      <x:c r="H33" s="26"/>
    </x:row>
    <x:row r="34">
      <x:c r="A34" s="1135" t="str">
        <x:v>Reconciliation status</x:v>
      </x:c>
      <x:c r="B34" s="1135"/>
      <x:c r="C34" s="1135"/>
      <x:c r="D34" s="1135"/>
      <x:c r="E34" s="1135"/>
      <x:c r="F34" s="1135"/>
      <x:c r="G34" s="1135" t="str">
        <x:f>IF(COUNTIF(G5:G32,"&lt;&gt;0")=0,"PASS","CHECK")</x:f>
        <x:v>PASS</x:v>
      </x:c>
      <x:c r="H34" s="1135" t="str">
        <x:v>PASS requires every difference above to equal zero.</x:v>
      </x:c>
    </x:row>
  </x:sheetData>
  <x:mergeCells>
    <x:mergeCell ref="A1:H1"/>
    <x:mergeCell ref="A2:H2"/>
  </x:mergeCells>
  <x:pageMargins left="0.7" right="0.7" top="0.75" bottom="0.75" header="0.3" footer="0.3"/>
</x:worksheet>
</file>

<file path=xl/worksheets/sheet7.xml><?xml version="1.0" encoding="utf-8"?>
<x:worksheet xmlns:x="http://schemas.openxmlformats.org/spreadsheetml/2006/main">
  <x:sheetFormatPr defaultRowHeight="15"/>
  <x:cols>
    <x:col min="1" max="1" width="10" hidden="0" customWidth="1"/>
    <x:col min="2" max="2" width="40" hidden="0" customWidth="1"/>
    <x:col min="3" max="3" width="30" hidden="0" customWidth="1"/>
    <x:col min="4" max="4" width="22" hidden="0" customWidth="1"/>
    <x:col min="5" max="5" width="58" hidden="0" customWidth="1"/>
    <x:col min="6" max="6" width="24" hidden="0" customWidth="1"/>
    <x:col min="7" max="7" width="36" hidden="0" customWidth="1"/>
    <x:col min="8" max="8" width="22" hidden="0" customWidth="1"/>
    <x:col min="9" max="9" width="58" hidden="0" customWidth="1"/>
  </x:cols>
  <x:sheetData>
    <x:row r="1" ht="30" customHeight="1">
      <x:c r="A1" s="338" t="str">
        <x:v>He Ara Angitū — Financial Model Source Register</x:v>
      </x:c>
      <x:c r="B1" s="338" t="str">
        <x:v>He Ara Angitū — Financial Model Source Register</x:v>
      </x:c>
      <x:c r="C1" s="338" t="str">
        <x:v>He Ara Angitū — Financial Model Source Register</x:v>
      </x:c>
      <x:c r="D1" s="338" t="str">
        <x:v>He Ara Angitū — Financial Model Source Register</x:v>
      </x:c>
      <x:c r="E1" s="338" t="str">
        <x:v>He Ara Angitū — Financial Model Source Register</x:v>
      </x:c>
      <x:c r="F1" s="338" t="str">
        <x:v>He Ara Angitū — Financial Model Source Register</x:v>
      </x:c>
      <x:c r="G1" s="338" t="str">
        <x:v>He Ara Angitū — Financial Model Source Register</x:v>
      </x:c>
      <x:c r="H1" s="338" t="str">
        <x:v>He Ara Angitū — Financial Model Source Register</x:v>
      </x:c>
      <x:c r="I1" s="338" t="str">
        <x:v>He Ara Angitū — Financial Model Source Register</x:v>
      </x:c>
      <x:c r="J1" s="339"/>
      <x:c r="K1" s="339"/>
      <x:c r="L1" s="339"/>
      <x:c r="M1" s="339"/>
      <x:c r="N1" s="339"/>
      <x:c r="O1" s="339"/>
      <x:c r="P1" s="339"/>
      <x:c r="Q1" s="339"/>
      <x:c r="R1" s="339"/>
      <x:c r="S1" s="339"/>
      <x:c r="T1" s="339"/>
      <x:c r="U1" s="339"/>
      <x:c r="V1" s="339"/>
      <x:c r="W1" s="339"/>
      <x:c r="X1" s="339"/>
      <x:c r="Y1" s="339"/>
      <x:c r="Z1" s="339"/>
    </x:row>
    <x:row r="2" ht="28" customHeight="1">
      <x:c r="A2" s="340" t="str">
        <x:v>Every externally sourced value is identified here. Budgetary allowances without a market quote are explicitly marked and must be replaced before funding approval.</x:v>
      </x:c>
      <x:c r="B2" s="340" t="str">
        <x:v>Every externally sourced value is identified here. Budgetary allowances without a market quote are explicitly marked and must be replaced before funding approval.</x:v>
      </x:c>
      <x:c r="C2" s="340" t="str">
        <x:v>Every externally sourced value is identified here. Budgetary allowances without a market quote are explicitly marked and must be replaced before funding approval.</x:v>
      </x:c>
      <x:c r="D2" s="340" t="str">
        <x:v>Every externally sourced value is identified here. Budgetary allowances without a market quote are explicitly marked and must be replaced before funding approval.</x:v>
      </x:c>
      <x:c r="E2" s="340" t="str">
        <x:v>Every externally sourced value is identified here. Budgetary allowances without a market quote are explicitly marked and must be replaced before funding approval.</x:v>
      </x:c>
      <x:c r="F2" s="340" t="str">
        <x:v>Every externally sourced value is identified here. Budgetary allowances without a market quote are explicitly marked and must be replaced before funding approval.</x:v>
      </x:c>
      <x:c r="G2" s="340" t="str">
        <x:v>Every externally sourced value is identified here. Budgetary allowances without a market quote are explicitly marked and must be replaced before funding approval.</x:v>
      </x:c>
      <x:c r="H2" s="340" t="str">
        <x:v>Every externally sourced value is identified here. Budgetary allowances without a market quote are explicitly marked and must be replaced before funding approval.</x:v>
      </x:c>
      <x:c r="I2" s="340" t="str">
        <x:v>Every externally sourced value is identified here. Budgetary allowances without a market quote are explicitly marked and must be replaced before funding approval.</x:v>
      </x:c>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343" t="str">
        <x:v>Source ID</x:v>
      </x:c>
      <x:c r="B4" s="343" t="str">
        <x:v>Source / title</x:v>
      </x:c>
      <x:c r="C4" s="343" t="str">
        <x:v>Organisation</x:v>
      </x:c>
      <x:c r="D4" s="343" t="str">
        <x:v>Date / version</x:v>
      </x:c>
      <x:c r="E4" s="343" t="str">
        <x:v>URL or file reference</x:v>
      </x:c>
      <x:c r="F4" s="343" t="str">
        <x:v>Source type</x:v>
      </x:c>
      <x:c r="G4" s="343" t="str">
        <x:v>Used for</x:v>
      </x:c>
      <x:c r="H4" s="343" t="str">
        <x:v>Confidence</x:v>
      </x:c>
      <x:c r="I4" s="343" t="str">
        <x:v>Critical caveat</x:v>
      </x:c>
      <x:c r="J4" s="339"/>
      <x:c r="K4" s="339"/>
      <x:c r="L4" s="339"/>
      <x:c r="M4" s="339"/>
      <x:c r="N4" s="339"/>
      <x:c r="O4" s="339"/>
      <x:c r="P4" s="339"/>
      <x:c r="Q4" s="339"/>
      <x:c r="R4" s="339"/>
      <x:c r="S4" s="339"/>
      <x:c r="T4" s="339"/>
      <x:c r="U4" s="339"/>
      <x:c r="V4" s="339"/>
      <x:c r="W4" s="339"/>
      <x:c r="X4" s="339"/>
      <x:c r="Y4" s="339"/>
      <x:c r="Z4" s="339"/>
    </x:row>
    <x:row r="5">
      <x:c r="A5" s="30" t="str">
        <x:v>S01</x:v>
      </x:c>
      <x:c r="B5" s="28" t="str">
        <x:v>He Ara Angitū — Pathways to Prosperity policy specification</x:v>
      </x:c>
      <x:c r="C5" s="28" t="str">
        <x:v>Christopher Laidlaw</x:v>
      </x:c>
      <x:c r="D5" s="28" t="str">
        <x:v>July 2026</x:v>
      </x:c>
      <x:c r="E5" s="32" t="str">
        <x:v>Commissioning policy specification supplied by the author</x:v>
      </x:c>
      <x:c r="F5" s="28" t="str">
        <x:v>Programme scope</x:v>
      </x:c>
      <x:c r="G5" s="28" t="str">
        <x:v>Three-stage rollout, payment split, pilot size and programme mechanisms</x:v>
      </x:c>
      <x:c r="H5" s="28" t="str">
        <x:v>Medium</x:v>
      </x:c>
      <x:c r="I5" s="28" t="str">
        <x:v>Programme scope requires government feasibility, co-design, legal review and independent evaluation.</x:v>
      </x:c>
      <x:c r="J5" s="339"/>
      <x:c r="K5" s="339"/>
      <x:c r="L5" s="339"/>
      <x:c r="M5" s="339"/>
      <x:c r="N5" s="339"/>
      <x:c r="O5" s="339"/>
      <x:c r="P5" s="339"/>
      <x:c r="Q5" s="339"/>
      <x:c r="R5" s="339"/>
      <x:c r="S5" s="339"/>
      <x:c r="T5" s="339"/>
      <x:c r="U5" s="339"/>
      <x:c r="V5" s="339"/>
      <x:c r="W5" s="339"/>
      <x:c r="X5" s="339"/>
      <x:c r="Y5" s="339"/>
      <x:c r="Z5" s="339"/>
    </x:row>
    <x:row r="6">
      <x:c r="A6" s="30" t="str">
        <x:v>S02</x:v>
      </x:c>
      <x:c r="B6" s="28" t="str">
        <x:v>Estimating the Cost of Youth Disengagement in New Zealand</x:v>
      </x:c>
      <x:c r="C6" s="28" t="str">
        <x:v>Auckland University of Technology — Pacheco &amp; Dye</x:v>
      </x:c>
      <x:c r="D6" s="28" t="str">
        <x:v>May 2013</x:v>
      </x:c>
      <x:c r="E6" s="32" t="str">
        <x:v>https://www.aut.ac.nz/__data/assets/pdf_file/0016/122029/Economics-WP-2013-04.pdf</x:v>
      </x:c>
      <x:c r="F6" s="28" t="str">
        <x:v>Research paper</x:v>
      </x:c>
      <x:c r="G6" s="28" t="str">
        <x:v>NEET cost benchmark</x:v>
      </x:c>
      <x:c r="H6" s="28" t="str">
        <x:v>Medium</x:v>
      </x:c>
      <x:c r="I6" s="28" t="str">
        <x:v>NZ short-term estimate is robustly described; lifetime multiplier is borrowed from UK research and is low-confidence for NZ.</x:v>
      </x:c>
      <x:c r="J6" s="339"/>
      <x:c r="K6" s="339"/>
      <x:c r="L6" s="339"/>
      <x:c r="M6" s="339"/>
      <x:c r="N6" s="339"/>
      <x:c r="O6" s="339"/>
      <x:c r="P6" s="339"/>
      <x:c r="Q6" s="339"/>
      <x:c r="R6" s="339"/>
      <x:c r="S6" s="339"/>
      <x:c r="T6" s="339"/>
      <x:c r="U6" s="339"/>
      <x:c r="V6" s="339"/>
      <x:c r="W6" s="339"/>
      <x:c r="X6" s="339"/>
      <x:c r="Y6" s="339"/>
      <x:c r="Z6" s="339"/>
    </x:row>
    <x:row r="7">
      <x:c r="A7" s="30" t="str">
        <x:v>S03</x:v>
      </x:c>
      <x:c r="B7" s="28" t="str">
        <x:v>Inflation calculator and all-groups CPI series</x:v>
      </x:c>
      <x:c r="C7" s="28" t="str">
        <x:v>Reserve Bank of New Zealand / Stats NZ</x:v>
      </x:c>
      <x:c r="D7" s="28" t="str">
        <x:v>March 2026 quarter</x:v>
      </x:c>
      <x:c r="E7" s="32" t="str">
        <x:v>https://www.rbnz.govt.nz/monetary-policy/about-monetary-policy/inflation-calculator
https://www.stats.govt.nz/assets/Uploads/Consumers-price-index/Consumers-price-index-March-2026-quarter/Download-data/consumers-price-index-march-2026-quarter.xlsx</x:v>
      </x:c>
      <x:c r="F7" s="28" t="str">
        <x:v>Official calculator and data</x:v>
      </x:c>
      <x:c r="G7" s="28" t="str">
        <x:v>December 2012 to March 2026 CPI uplift</x:v>
      </x:c>
      <x:c r="H7" s="28" t="str">
        <x:v>High</x:v>
      </x:c>
      <x:c r="I7" s="28" t="str">
        <x:v>All-groups CPI: December 2012 = 953.5; March 2026 = 1339; uplift factor = 1.4043. Refresh after the next CPI release.</x:v>
      </x:c>
      <x:c r="J7" s="339"/>
      <x:c r="K7" s="339"/>
      <x:c r="L7" s="339"/>
      <x:c r="M7" s="339"/>
      <x:c r="N7" s="339"/>
      <x:c r="O7" s="339"/>
      <x:c r="P7" s="339"/>
      <x:c r="Q7" s="339"/>
      <x:c r="R7" s="339"/>
      <x:c r="S7" s="339"/>
      <x:c r="T7" s="339"/>
      <x:c r="U7" s="339"/>
      <x:c r="V7" s="339"/>
      <x:c r="W7" s="339"/>
      <x:c r="X7" s="339"/>
      <x:c r="Y7" s="339"/>
      <x:c r="Z7" s="339"/>
    </x:row>
    <x:row r="8">
      <x:c r="A8" s="30" t="str">
        <x:v>S04</x:v>
      </x:c>
      <x:c r="B8" s="28" t="str">
        <x:v>The Treasury's CBAx Tool</x:v>
      </x:c>
      <x:c r="C8" s="28" t="str">
        <x:v>New Zealand Treasury</x:v>
      </x:c>
      <x:c r="D8" s="28" t="str">
        <x:v>February 2026</x:v>
      </x:c>
      <x:c r="E8" s="32" t="str">
        <x:v>https://www.treasury.govt.nz/information-and-services/public-sector-leadership/investment-management/investment-planning/treasurys-cbax-tool</x:v>
      </x:c>
      <x:c r="F8" s="28" t="str">
        <x:v>Official methodology</x:v>
      </x:c>
      <x:c r="G8" s="28" t="str">
        <x:v>Cost-benefit architecture and impact values</x:v>
      </x:c>
      <x:c r="H8" s="28" t="str">
        <x:v>High</x:v>
      </x:c>
      <x:c r="I8" s="28" t="str">
        <x:v>CBAx supports judgement; it does not prove programme effectiveness.</x:v>
      </x:c>
      <x:c r="J8" s="339"/>
      <x:c r="K8" s="339"/>
      <x:c r="L8" s="339"/>
      <x:c r="M8" s="339"/>
      <x:c r="N8" s="339"/>
      <x:c r="O8" s="339"/>
      <x:c r="P8" s="339"/>
      <x:c r="Q8" s="339"/>
      <x:c r="R8" s="339"/>
      <x:c r="S8" s="339"/>
      <x:c r="T8" s="339"/>
      <x:c r="U8" s="339"/>
      <x:c r="V8" s="339"/>
      <x:c r="W8" s="339"/>
      <x:c r="X8" s="339"/>
      <x:c r="Y8" s="339"/>
      <x:c r="Z8" s="339"/>
    </x:row>
    <x:row r="9">
      <x:c r="A9" s="30" t="str">
        <x:v>S05</x:v>
      </x:c>
      <x:c r="B9" s="28" t="str">
        <x:v>CBAx Tool User Guidance</x:v>
      </x:c>
      <x:c r="C9" s="28" t="str">
        <x:v>New Zealand Treasury</x:v>
      </x:c>
      <x:c r="D9" s="28" t="str">
        <x:v>November 2025</x:v>
      </x:c>
      <x:c r="E9" s="32" t="str">
        <x:v>https://www.treasury.govt.nz/sites/default/files/2025-11/cbax-tool-user-guidance-nov25.pdf</x:v>
      </x:c>
      <x:c r="F9" s="28" t="str">
        <x:v>Official guidance</x:v>
      </x:c>
      <x:c r="G9" s="28" t="str">
        <x:v>Discounting, sensitivity, evidence discipline</x:v>
      </x:c>
      <x:c r="H9" s="28" t="str">
        <x:v>High</x:v>
      </x:c>
      <x:c r="I9" s="28" t="str">
        <x:v>Requires explicit success rates, timing, duration and uncertainty.</x:v>
      </x:c>
      <x:c r="J9" s="339"/>
      <x:c r="K9" s="339"/>
      <x:c r="L9" s="339"/>
      <x:c r="M9" s="339"/>
      <x:c r="N9" s="339"/>
      <x:c r="O9" s="339"/>
      <x:c r="P9" s="339"/>
      <x:c r="Q9" s="339"/>
      <x:c r="R9" s="339"/>
      <x:c r="S9" s="339"/>
      <x:c r="T9" s="339"/>
      <x:c r="U9" s="339"/>
      <x:c r="V9" s="339"/>
      <x:c r="W9" s="339"/>
      <x:c r="X9" s="339"/>
      <x:c r="Y9" s="339"/>
      <x:c r="Z9" s="339"/>
    </x:row>
    <x:row r="10">
      <x:c r="A10" s="30" t="str">
        <x:v>S06</x:v>
      </x:c>
      <x:c r="B10" s="28" t="str">
        <x:v>Public Sector Discount Rates</x:v>
      </x:c>
      <x:c r="C10" s="28" t="str">
        <x:v>New Zealand Treasury</x:v>
      </x:c>
      <x:c r="D10" s="28" t="str">
        <x:v>Current 2025–2027 settings</x:v>
      </x:c>
      <x:c r="E10" s="32" t="str">
        <x:v>https://www.treasury.govt.nz/information-and-services/public-sector-leadership/guidance/reporting-financial/discount-rates</x:v>
      </x:c>
      <x:c r="F10" s="28" t="str">
        <x:v>Official guidance</x:v>
      </x:c>
      <x:c r="G10" s="28" t="str">
        <x:v>2% real standard; 8% mandatory sensitivity</x:v>
      </x:c>
      <x:c r="H10" s="28" t="str">
        <x:v>High</x:v>
      </x:c>
      <x:c r="I10" s="28" t="str">
        <x:v>The model is an early planning model, not a completed 50-year CBAx.</x:v>
      </x:c>
      <x:c r="J10" s="339"/>
      <x:c r="K10" s="339"/>
      <x:c r="L10" s="339"/>
      <x:c r="M10" s="339"/>
      <x:c r="N10" s="339"/>
      <x:c r="O10" s="339"/>
      <x:c r="P10" s="339"/>
      <x:c r="Q10" s="339"/>
      <x:c r="R10" s="339"/>
      <x:c r="S10" s="339"/>
      <x:c r="T10" s="339"/>
      <x:c r="U10" s="339"/>
      <x:c r="V10" s="339"/>
      <x:c r="W10" s="339"/>
      <x:c r="X10" s="339"/>
      <x:c r="Y10" s="339"/>
      <x:c r="Z10" s="339"/>
    </x:row>
    <x:row r="11">
      <x:c r="A11" s="30" t="str">
        <x:v>S07</x:v>
      </x:c>
      <x:c r="B11" s="28" t="str">
        <x:v>Better Business Cases</x:v>
      </x:c>
      <x:c r="C11" s="28" t="str">
        <x:v>New Zealand Treasury</x:v>
      </x:c>
      <x:c r="D11" s="28" t="str">
        <x:v>April 2026</x:v>
      </x:c>
      <x:c r="E11" s="32" t="str">
        <x:v>https://www.treasury.govt.nz/information-and-services/public-sector-leadership/investment-management/better-business-cases</x:v>
      </x:c>
      <x:c r="F11" s="28" t="str">
        <x:v>Official guidance</x:v>
      </x:c>
      <x:c r="G11" s="28" t="str">
        <x:v>Year 0 deliverables and assurance</x:v>
      </x:c>
      <x:c r="H11" s="28" t="str">
        <x:v>High</x:v>
      </x:c>
      <x:c r="I11" s="28" t="str">
        <x:v>A Programme Business Case and subsequent delivery approvals remain required.</x:v>
      </x:c>
      <x:c r="J11" s="339"/>
      <x:c r="K11" s="339"/>
      <x:c r="L11" s="339"/>
      <x:c r="M11" s="339"/>
      <x:c r="N11" s="339"/>
      <x:c r="O11" s="339"/>
      <x:c r="P11" s="339"/>
      <x:c r="Q11" s="339"/>
      <x:c r="R11" s="339"/>
      <x:c r="S11" s="339"/>
      <x:c r="T11" s="339"/>
      <x:c r="U11" s="339"/>
      <x:c r="V11" s="339"/>
      <x:c r="W11" s="339"/>
      <x:c r="X11" s="339"/>
      <x:c r="Y11" s="339"/>
      <x:c r="Z11" s="339"/>
    </x:row>
    <x:row r="12">
      <x:c r="A12" s="30" t="str">
        <x:v>S08</x:v>
      </x:c>
      <x:c r="B12" s="28" t="str">
        <x:v>School rolls</x:v>
      </x:c>
      <x:c r="C12" s="28" t="str">
        <x:v>Ministry of Education — Education Counts</x:v>
      </x:c>
      <x:c r="D12" s="28" t="str">
        <x:v>1 July 2025 roll; released October 2025</x:v>
      </x:c>
      <x:c r="E12" s="32" t="str">
        <x:v>https://www.educationcounts.govt.nz/statistics/school-rolls</x:v>
      </x:c>
      <x:c r="F12" s="28" t="str">
        <x:v>Official statistics</x:v>
      </x:c>
      <x:c r="G12" s="28" t="str">
        <x:v>National cohort proxy</x:v>
      </x:c>
      <x:c r="H12" s="28" t="str">
        <x:v>High for published roll; Medium for proxy</x:v>
      </x:c>
      <x:c r="I12" s="28" t="str">
        <x:v>The 311,743 secondary subtotal is a planning proxy, not an exact Year 9–13 eligible count.</x:v>
      </x:c>
      <x:c r="J12" s="339"/>
      <x:c r="K12" s="339"/>
      <x:c r="L12" s="339"/>
      <x:c r="M12" s="339"/>
      <x:c r="N12" s="339"/>
      <x:c r="O12" s="339"/>
      <x:c r="P12" s="339"/>
      <x:c r="Q12" s="339"/>
      <x:c r="R12" s="339"/>
      <x:c r="S12" s="339"/>
      <x:c r="T12" s="339"/>
      <x:c r="U12" s="339"/>
      <x:c r="V12" s="339"/>
      <x:c r="W12" s="339"/>
      <x:c r="X12" s="339"/>
      <x:c r="Y12" s="339"/>
      <x:c r="Z12" s="339"/>
    </x:row>
    <x:row r="13">
      <x:c r="A13" s="30" t="str">
        <x:v>S09</x:v>
      </x:c>
      <x:c r="B13" s="28" t="str">
        <x:v>Wage trends — Public Service</x:v>
      </x:c>
      <x:c r="C13" s="28" t="str">
        <x:v>Public Service Commission</x:v>
      </x:c>
      <x:c r="D13" s="28" t="str">
        <x:v>June 2025</x:v>
      </x:c>
      <x:c r="E13" s="32" t="str">
        <x:v>https://www.publicservice.govt.nz/data/workforce-data/remunerationpay/wage-trends</x:v>
      </x:c>
      <x:c r="F13" s="28" t="str">
        <x:v>Official workforce data</x:v>
      </x:c>
      <x:c r="G13" s="28" t="str">
        <x:v>General salary benchmark</x:v>
      </x:c>
      <x:c r="H13" s="28" t="str">
        <x:v>High</x:v>
      </x:c>
      <x:c r="I13" s="28" t="str">
        <x:v>Average base salary is not a quote for any specific role.</x:v>
      </x:c>
      <x:c r="J13" s="339"/>
      <x:c r="K13" s="339"/>
      <x:c r="L13" s="339"/>
      <x:c r="M13" s="339"/>
      <x:c r="N13" s="339"/>
      <x:c r="O13" s="339"/>
      <x:c r="P13" s="339"/>
      <x:c r="Q13" s="339"/>
      <x:c r="R13" s="339"/>
      <x:c r="S13" s="339"/>
      <x:c r="T13" s="339"/>
      <x:c r="U13" s="339"/>
      <x:c r="V13" s="339"/>
      <x:c r="W13" s="339"/>
      <x:c r="X13" s="339"/>
      <x:c r="Y13" s="339"/>
      <x:c r="Z13" s="339"/>
    </x:row>
    <x:row r="14">
      <x:c r="A14" s="30" t="str">
        <x:v>S10</x:v>
      </x:c>
      <x:c r="B14" s="28" t="str">
        <x:v>Service Manager vacancy — salary range</x:v>
      </x:c>
      <x:c r="C14" s="28" t="str">
        <x:v>Ministry of Education / NZ Government Jobs</x:v>
      </x:c>
      <x:c r="D14" s="28" t="str">
        <x:v>June 2026</x:v>
      </x:c>
      <x:c r="E14" s="32" t="str">
        <x:v>https://jobs.govt.nz/jobtools/jncustomsearch.viewFullSingle?in_jnCounter=226616998&amp;in_organid=16563</x:v>
      </x:c>
      <x:c r="F14" s="28" t="str">
        <x:v>Current vacancy benchmark</x:v>
      </x:c>
      <x:c r="G14" s="28" t="str">
        <x:v>Manager salary benchmark</x:v>
      </x:c>
      <x:c r="H14" s="28" t="str">
        <x:v>Medium-High</x:v>
      </x:c>
      <x:c r="I14" s="28" t="str">
        <x:v>Vacancy may expire; retain a PDF/screenshot in the evidence register.</x:v>
      </x:c>
      <x:c r="J14" s="339"/>
      <x:c r="K14" s="339"/>
      <x:c r="L14" s="339"/>
      <x:c r="M14" s="339"/>
      <x:c r="N14" s="339"/>
      <x:c r="O14" s="339"/>
      <x:c r="P14" s="339"/>
      <x:c r="Q14" s="339"/>
      <x:c r="R14" s="339"/>
      <x:c r="S14" s="339"/>
      <x:c r="T14" s="339"/>
      <x:c r="U14" s="339"/>
      <x:c r="V14" s="339"/>
      <x:c r="W14" s="339"/>
      <x:c r="X14" s="339"/>
      <x:c r="Y14" s="339"/>
      <x:c r="Z14" s="339"/>
    </x:row>
    <x:row r="15">
      <x:c r="A15" s="30" t="str">
        <x:v>S11</x:v>
      </x:c>
      <x:c r="B15" s="28" t="str">
        <x:v>Project Coordinator vacancy — salary range</x:v>
      </x:c>
      <x:c r="C15" s="28" t="str">
        <x:v>Ministry of Education / NZ Government Jobs</x:v>
      </x:c>
      <x:c r="D15" s="28" t="str">
        <x:v>May 2026</x:v>
      </x:c>
      <x:c r="E15" s="32" t="str">
        <x:v>https://jobs.govt.nz/jobtools/jncustomsearch.viewFullSingle?in_jnCounter=226604582&amp;in_organid=16563</x:v>
      </x:c>
      <x:c r="F15" s="28" t="str">
        <x:v>Current vacancy benchmark</x:v>
      </x:c>
      <x:c r="G15" s="28" t="str">
        <x:v>Coordinator salary benchmark</x:v>
      </x:c>
      <x:c r="H15" s="28" t="str">
        <x:v>Medium-High</x:v>
      </x:c>
      <x:c r="I15" s="28" t="str">
        <x:v>Vacancy may expire; retain a PDF/screenshot in the evidence register.</x:v>
      </x:c>
      <x:c r="J15" s="339"/>
      <x:c r="K15" s="339"/>
      <x:c r="L15" s="339"/>
      <x:c r="M15" s="339"/>
      <x:c r="N15" s="339"/>
      <x:c r="O15" s="339"/>
      <x:c r="P15" s="339"/>
      <x:c r="Q15" s="339"/>
      <x:c r="R15" s="339"/>
      <x:c r="S15" s="339"/>
      <x:c r="T15" s="339"/>
      <x:c r="U15" s="339"/>
      <x:c r="V15" s="339"/>
      <x:c r="W15" s="339"/>
      <x:c r="X15" s="339"/>
      <x:c r="Y15" s="339"/>
      <x:c r="Z15" s="339"/>
    </x:row>
    <x:row r="16">
      <x:c r="A16" s="30" t="str">
        <x:v>S12</x:v>
      </x:c>
      <x:c r="B16" s="28" t="str">
        <x:v>Senior Advisor vacancy — salary range</x:v>
      </x:c>
      <x:c r="C16" s="28" t="str">
        <x:v>NZ Government Jobs</x:v>
      </x:c>
      <x:c r="D16" s="28" t="str">
        <x:v>June–July 2026</x:v>
      </x:c>
      <x:c r="E16" s="32" t="str">
        <x:v>https://jobs.govt.nz/jobs/WKS-1929487</x:v>
      </x:c>
      <x:c r="F16" s="28" t="str">
        <x:v>Current vacancy benchmark</x:v>
      </x:c>
      <x:c r="G16" s="28" t="str">
        <x:v>Senior policy/commercial salary benchmark</x:v>
      </x:c>
      <x:c r="H16" s="28" t="str">
        <x:v>Medium-High</x:v>
      </x:c>
      <x:c r="I16" s="28" t="str">
        <x:v>Vacancy may expire; retain a PDF/screenshot in the evidence register.</x:v>
      </x:c>
      <x:c r="J16" s="339"/>
      <x:c r="K16" s="339"/>
      <x:c r="L16" s="339"/>
      <x:c r="M16" s="339"/>
      <x:c r="N16" s="339"/>
      <x:c r="O16" s="339"/>
      <x:c r="P16" s="339"/>
      <x:c r="Q16" s="339"/>
      <x:c r="R16" s="339"/>
      <x:c r="S16" s="339"/>
      <x:c r="T16" s="339"/>
      <x:c r="U16" s="339"/>
      <x:c r="V16" s="339"/>
      <x:c r="W16" s="339"/>
      <x:c r="X16" s="339"/>
      <x:c r="Y16" s="339"/>
      <x:c r="Z16" s="339"/>
    </x:row>
    <x:row r="17">
      <x:c r="A17" s="30" t="str">
        <x:v>S13</x:v>
      </x:c>
      <x:c r="B17" s="28" t="str">
        <x:v>Data Analyst vacancy — salary range</x:v>
      </x:c>
      <x:c r="C17" s="28" t="str">
        <x:v>Tertiary Education Commission / NZ Government Jobs</x:v>
      </x:c>
      <x:c r="D17" s="28" t="str">
        <x:v>July 2026</x:v>
      </x:c>
      <x:c r="E17" s="32" t="str">
        <x:v>https://jobs.govt.nz/jobs/Wellington/TEC-1935286</x:v>
      </x:c>
      <x:c r="F17" s="28" t="str">
        <x:v>Current vacancy benchmark</x:v>
      </x:c>
      <x:c r="G17" s="28" t="str">
        <x:v>Data/evaluation salary benchmark</x:v>
      </x:c>
      <x:c r="H17" s="28" t="str">
        <x:v>Medium-High</x:v>
      </x:c>
      <x:c r="I17" s="28" t="str">
        <x:v>Vacancy may expire; retain a PDF/screenshot in the evidence register.</x:v>
      </x:c>
      <x:c r="J17" s="339"/>
      <x:c r="K17" s="339"/>
      <x:c r="L17" s="339"/>
      <x:c r="M17" s="339"/>
      <x:c r="N17" s="339"/>
      <x:c r="O17" s="339"/>
      <x:c r="P17" s="339"/>
      <x:c r="Q17" s="339"/>
      <x:c r="R17" s="339"/>
      <x:c r="S17" s="339"/>
      <x:c r="T17" s="339"/>
      <x:c r="U17" s="339"/>
      <x:c r="V17" s="339"/>
      <x:c r="W17" s="339"/>
      <x:c r="X17" s="339"/>
      <x:c r="Y17" s="339"/>
      <x:c r="Z17" s="339"/>
    </x:row>
    <x:row r="18">
      <x:c r="A18" s="30" t="str">
        <x:v>S14</x:v>
      </x:c>
      <x:c r="B18" s="28" t="str">
        <x:v>Cabinet Fees Framework</x:v>
      </x:c>
      <x:c r="C18" s="28" t="str">
        <x:v>Public Service Commission / DPMC</x:v>
      </x:c>
      <x:c r="D18" s="28" t="str">
        <x:v>Effective 1 July 2025</x:v>
      </x:c>
      <x:c r="E18" s="32" t="str">
        <x:v>https://www.publicservice.govt.nz/guidance/interpreting-and-implementing-the-cabinet-fees-framework</x:v>
      </x:c>
      <x:c r="F18" s="28" t="str">
        <x:v>Official guidance</x:v>
      </x:c>
      <x:c r="G18" s="28" t="str">
        <x:v>Governance fees</x:v>
      </x:c>
      <x:c r="H18" s="28" t="str">
        <x:v>High</x:v>
      </x:c>
      <x:c r="I18" s="28" t="str">
        <x:v>Actual board classification and fee approval must be confirmed.</x:v>
      </x:c>
      <x:c r="J18" s="339"/>
      <x:c r="K18" s="339"/>
      <x:c r="L18" s="339"/>
      <x:c r="M18" s="339"/>
      <x:c r="N18" s="339"/>
      <x:c r="O18" s="339"/>
      <x:c r="P18" s="339"/>
      <x:c r="Q18" s="339"/>
      <x:c r="R18" s="339"/>
      <x:c r="S18" s="339"/>
      <x:c r="T18" s="339"/>
      <x:c r="U18" s="339"/>
      <x:c r="V18" s="339"/>
      <x:c r="W18" s="339"/>
      <x:c r="X18" s="339"/>
      <x:c r="Y18" s="339"/>
      <x:c r="Z18" s="339"/>
    </x:row>
    <x:row r="19">
      <x:c r="A19" s="30" t="str">
        <x:v>S15</x:v>
      </x:c>
      <x:c r="B19" s="28" t="str">
        <x:v>Privacy Act obligations and Privacy Principle 5</x:v>
      </x:c>
      <x:c r="C19" s="28" t="str">
        <x:v>Office of the Privacy Commissioner</x:v>
      </x:c>
      <x:c r="D19" s="28" t="str">
        <x:v>Current</x:v>
      </x:c>
      <x:c r="E19" s="32" t="str">
        <x:v>https://www.privacy.org.nz/responsibilities/your-obligations/</x:v>
      </x:c>
      <x:c r="F19" s="28" t="str">
        <x:v>Official guidance</x:v>
      </x:c>
      <x:c r="G19" s="28" t="str">
        <x:v>Privacy, PIA and security work</x:v>
      </x:c>
      <x:c r="H19" s="28" t="str">
        <x:v>High</x:v>
      </x:c>
      <x:c r="I19" s="28" t="str">
        <x:v>Legal/privacy advice must be obtained for children, schools and cross-agency data sharing.</x:v>
      </x:c>
      <x:c r="J19" s="339"/>
      <x:c r="K19" s="339"/>
      <x:c r="L19" s="339"/>
      <x:c r="M19" s="339"/>
      <x:c r="N19" s="339"/>
      <x:c r="O19" s="339"/>
      <x:c r="P19" s="339"/>
      <x:c r="Q19" s="339"/>
      <x:c r="R19" s="339"/>
      <x:c r="S19" s="339"/>
      <x:c r="T19" s="339"/>
      <x:c r="U19" s="339"/>
      <x:c r="V19" s="339"/>
      <x:c r="W19" s="339"/>
      <x:c r="X19" s="339"/>
      <x:c r="Y19" s="339"/>
      <x:c r="Z19" s="339"/>
    </x:row>
    <x:row r="20">
      <x:c r="A20" s="30" t="str">
        <x:v>S16</x:v>
      </x:c>
      <x:c r="B20" s="28" t="str">
        <x:v>New Zealand Information Security Manual</x:v>
      </x:c>
      <x:c r="C20" s="28" t="str">
        <x:v>GCSB / NCSC</x:v>
      </x:c>
      <x:c r="D20" s="28" t="str">
        <x:v>Current online edition</x:v>
      </x:c>
      <x:c r="E20" s="32" t="str">
        <x:v>https://nzism.gcsb.govt.nz/ism-document</x:v>
      </x:c>
      <x:c r="F20" s="28" t="str">
        <x:v>Official security standard</x:v>
      </x:c>
      <x:c r="G20" s="28" t="str">
        <x:v>Security architecture and assurance</x:v>
      </x:c>
      <x:c r="H20" s="28" t="str">
        <x:v>High</x:v>
      </x:c>
      <x:c r="I20" s="28" t="str">
        <x:v>Compliance scope depends on hosting, information classification and agency ownership.</x:v>
      </x:c>
      <x:c r="J20" s="339"/>
      <x:c r="K20" s="339"/>
      <x:c r="L20" s="339"/>
      <x:c r="M20" s="339"/>
      <x:c r="N20" s="339"/>
      <x:c r="O20" s="339"/>
      <x:c r="P20" s="339"/>
      <x:c r="Q20" s="339"/>
      <x:c r="R20" s="339"/>
      <x:c r="S20" s="339"/>
      <x:c r="T20" s="339"/>
      <x:c r="U20" s="339"/>
      <x:c r="V20" s="339"/>
      <x:c r="W20" s="339"/>
      <x:c r="X20" s="339"/>
      <x:c r="Y20" s="339"/>
      <x:c r="Z20" s="339"/>
    </x:row>
    <x:row r="21">
      <x:c r="A21" s="30" t="str">
        <x:v>S17</x:v>
      </x:c>
      <x:c r="B21" s="28" t="str">
        <x:v>Police Vetting Service fees</x:v>
      </x:c>
      <x:c r="C21" s="28" t="str">
        <x:v>New Zealand Police</x:v>
      </x:c>
      <x:c r="D21" s="28" t="str">
        <x:v>Current 2026 fee</x:v>
      </x:c>
      <x:c r="E21" s="32" t="str">
        <x:v>https://www.police.govt.nz/advice-services/businesses-and-organisations/nz-police-vetting-service/fees-charges-and-payments</x:v>
      </x:c>
      <x:c r="F21" s="28" t="str">
        <x:v>Official price</x:v>
      </x:c>
      <x:c r="G21" s="28" t="str">
        <x:v>Mentor/staff vetting</x:v>
      </x:c>
      <x:c r="H21" s="28" t="str">
        <x:v>High</x:v>
      </x:c>
      <x:c r="I21" s="28" t="str">
        <x:v>Police is consulting on fee changes for 2027; update before procurement.</x:v>
      </x:c>
      <x:c r="J21" s="339"/>
      <x:c r="K21" s="339"/>
      <x:c r="L21" s="339"/>
      <x:c r="M21" s="339"/>
      <x:c r="N21" s="339"/>
      <x:c r="O21" s="339"/>
      <x:c r="P21" s="339"/>
      <x:c r="Q21" s="339"/>
      <x:c r="R21" s="339"/>
      <x:c r="S21" s="339"/>
      <x:c r="T21" s="339"/>
      <x:c r="U21" s="339"/>
      <x:c r="V21" s="339"/>
      <x:c r="W21" s="339"/>
      <x:c r="X21" s="339"/>
      <x:c r="Y21" s="339"/>
      <x:c r="Z21" s="339"/>
    </x:row>
    <x:row r="22">
      <x:c r="A22" s="30" t="str">
        <x:v>S18</x:v>
      </x:c>
      <x:c r="B22" s="28" t="str">
        <x:v>StudyLink</x:v>
      </x:c>
      <x:c r="C22" s="28" t="str">
        <x:v>Ministry of Social Development</x:v>
      </x:c>
      <x:c r="D22" s="28" t="str">
        <x:v>Current</x:v>
      </x:c>
      <x:c r="E22" s="32" t="str">
        <x:v>https://www.studylink.govt.nz/</x:v>
      </x:c>
      <x:c r="F22" s="28" t="str">
        <x:v>Official service description</x:v>
      </x:c>
      <x:c r="G22" s="28" t="str">
        <x:v>Potential payment-administration pathway</x:v>
      </x:c>
      <x:c r="H22" s="28" t="str">
        <x:v>High for capability; Low for cost</x:v>
      </x:c>
      <x:c r="I22" s="28" t="str">
        <x:v>No public quote exists for administering this new payment. A formal inter-agency cost estimate is mandatory.</x:v>
      </x:c>
      <x:c r="J22" s="339"/>
      <x:c r="K22" s="339"/>
      <x:c r="L22" s="339"/>
      <x:c r="M22" s="339"/>
      <x:c r="N22" s="339"/>
      <x:c r="O22" s="339"/>
      <x:c r="P22" s="339"/>
      <x:c r="Q22" s="339"/>
      <x:c r="R22" s="339"/>
      <x:c r="S22" s="339"/>
      <x:c r="T22" s="339"/>
      <x:c r="U22" s="339"/>
      <x:c r="V22" s="339"/>
      <x:c r="W22" s="339"/>
      <x:c r="X22" s="339"/>
      <x:c r="Y22" s="339"/>
      <x:c r="Z22" s="339"/>
    </x:row>
    <x:row r="23">
      <x:c r="A23" s="30" t="str">
        <x:v>S19</x:v>
      </x:c>
      <x:c r="B23" s="28" t="str">
        <x:v>Azure pricing</x:v>
      </x:c>
      <x:c r="C23" s="28" t="str">
        <x:v>Microsoft</x:v>
      </x:c>
      <x:c r="D23" s="28" t="str">
        <x:v>Current</x:v>
      </x:c>
      <x:c r="E23" s="32" t="str">
        <x:v>https://azure.microsoft.com/en-us/pricing/</x:v>
      </x:c>
      <x:c r="F23" s="28" t="str">
        <x:v>Vendor price pages</x:v>
      </x:c>
      <x:c r="G23" s="28" t="str">
        <x:v>Cloud services reference</x:v>
      </x:c>
      <x:c r="H23" s="28" t="str">
        <x:v>Low-Medium</x:v>
      </x:c>
      <x:c r="I23" s="28" t="str">
        <x:v>Actual architecture, security tier, data residency, support and usage determine cost; obtain vendor quotes.</x:v>
      </x:c>
      <x:c r="J23" s="339"/>
      <x:c r="K23" s="339"/>
      <x:c r="L23" s="339"/>
      <x:c r="M23" s="339"/>
      <x:c r="N23" s="339"/>
      <x:c r="O23" s="339"/>
      <x:c r="P23" s="339"/>
      <x:c r="Q23" s="339"/>
      <x:c r="R23" s="339"/>
      <x:c r="S23" s="339"/>
      <x:c r="T23" s="339"/>
      <x:c r="U23" s="339"/>
      <x:c r="V23" s="339"/>
      <x:c r="W23" s="339"/>
      <x:c r="X23" s="339"/>
      <x:c r="Y23" s="339"/>
      <x:c r="Z23" s="339"/>
    </x:row>
    <x:row r="24">
      <x:c r="A24" s="30" t="str">
        <x:v>S20</x:v>
      </x:c>
      <x:c r="B24" s="28" t="str">
        <x:v>NZISM cloud computing guidance</x:v>
      </x:c>
      <x:c r="C24" s="28" t="str">
        <x:v>GCSB / NCSC</x:v>
      </x:c>
      <x:c r="D24" s="28" t="str">
        <x:v>Current</x:v>
      </x:c>
      <x:c r="E24" s="32" t="str">
        <x:v>https://nzism.gcsb.govt.nz/resources/faq/cloud-computing</x:v>
      </x:c>
      <x:c r="F24" s="28" t="str">
        <x:v>Official guidance</x:v>
      </x:c>
      <x:c r="G24" s="28" t="str">
        <x:v>Cloud risk assessment</x:v>
      </x:c>
      <x:c r="H24" s="28" t="str">
        <x:v>High</x:v>
      </x:c>
      <x:c r="I24" s="28" t="str">
        <x:v>Cloud use requires case-by-case security risk assessment.</x:v>
      </x:c>
      <x:c r="J24" s="339"/>
      <x:c r="K24" s="339"/>
      <x:c r="L24" s="339"/>
      <x:c r="M24" s="339"/>
      <x:c r="N24" s="339"/>
      <x:c r="O24" s="339"/>
      <x:c r="P24" s="339"/>
      <x:c r="Q24" s="339"/>
      <x:c r="R24" s="339"/>
      <x:c r="S24" s="339"/>
      <x:c r="T24" s="339"/>
      <x:c r="U24" s="339"/>
      <x:c r="V24" s="339"/>
      <x:c r="W24" s="339"/>
      <x:c r="X24" s="339"/>
      <x:c r="Y24" s="339"/>
      <x:c r="Z24" s="339"/>
    </x:row>
    <x:row r="25">
      <x:c r="A25" s="30" t="str">
        <x:v>S21</x:v>
      </x:c>
      <x:c r="B25" s="28" t="str">
        <x:v>CBAx model — October 2025</x:v>
      </x:c>
      <x:c r="C25" s="28" t="str">
        <x:v>New Zealand Treasury</x:v>
      </x:c>
      <x:c r="D25" s="28" t="str">
        <x:v>October 2025</x:v>
      </x:c>
      <x:c r="E25" s="32" t="str">
        <x:v>https://www.treasury.govt.nz/sites/default/files/2025-11/cbax-model-oct25.xlsx</x:v>
      </x:c>
      <x:c r="F25" s="28" t="str">
        <x:v>Official data workbook</x:v>
      </x:c>
      <x:c r="G25" s="28" t="str">
        <x:v>Optional downstream impact values</x:v>
      </x:c>
      <x:c r="H25" s="28" t="str">
        <x:v>High</x:v>
      </x:c>
      <x:c r="I25" s="28" t="str">
        <x:v>Optional values are excluded from headline benefits to avoid double counting and weak causal attribution.</x:v>
      </x:c>
      <x:c r="J25" s="339"/>
      <x:c r="K25" s="339"/>
      <x:c r="L25" s="339"/>
      <x:c r="M25" s="339"/>
      <x:c r="N25" s="339"/>
      <x:c r="O25" s="339"/>
      <x:c r="P25" s="339"/>
      <x:c r="Q25" s="339"/>
      <x:c r="R25" s="339"/>
      <x:c r="S25" s="339"/>
      <x:c r="T25" s="339"/>
      <x:c r="U25" s="339"/>
      <x:c r="V25" s="339"/>
      <x:c r="W25" s="339"/>
      <x:c r="X25" s="339"/>
      <x:c r="Y25" s="339"/>
      <x:c r="Z25" s="339"/>
    </x:row>
    <x:row r="26">
      <x:c r="A26" s="30" t="str">
        <x:v>S22</x:v>
      </x:c>
      <x:c r="B26" s="28" t="str">
        <x:v>NZ Police Vetting Service</x:v>
      </x:c>
      <x:c r="C26" s="28" t="str">
        <x:v>New Zealand Police</x:v>
      </x:c>
      <x:c r="D26" s="28" t="str">
        <x:v>June 2026</x:v>
      </x:c>
      <x:c r="E26" s="32" t="str">
        <x:v>https://www.police.govt.nz/advice-services/businesses-and-organisations/nz-police-vetting-service</x:v>
      </x:c>
      <x:c r="F26" s="28" t="str">
        <x:v>Official service information</x:v>
      </x:c>
      <x:c r="G26" s="28" t="str">
        <x:v>Vetting process and future fee risk</x:v>
      </x:c>
      <x:c r="H26" s="28" t="str">
        <x:v>High</x:v>
      </x:c>
      <x:c r="I26" s="28" t="str">
        <x:v>Only authorised agencies can submit vets.</x:v>
      </x:c>
      <x:c r="J26" s="339"/>
      <x:c r="K26" s="339"/>
      <x:c r="L26" s="339"/>
      <x:c r="M26" s="339"/>
      <x:c r="N26" s="339"/>
      <x:c r="O26" s="339"/>
      <x:c r="P26" s="339"/>
      <x:c r="Q26" s="339"/>
      <x:c r="R26" s="339"/>
      <x:c r="S26" s="339"/>
      <x:c r="T26" s="339"/>
      <x:c r="U26" s="339"/>
      <x:c r="V26" s="339"/>
      <x:c r="W26" s="339"/>
      <x:c r="X26" s="339"/>
      <x:c r="Y26" s="339"/>
      <x:c r="Z26" s="339"/>
    </x:row>
    <x:row r="27">
      <x:c r="A27" s="30" t="str">
        <x:v>S23</x:v>
      </x:c>
      <x:c r="B27" s="28" t="str">
        <x:v>Managing Benefits from Projects and Programmes</x:v>
      </x:c>
      <x:c r="C27" s="28" t="str">
        <x:v>New Zealand Treasury</x:v>
      </x:c>
      <x:c r="D27" s="28" t="str">
        <x:v>October 2024</x:v>
      </x:c>
      <x:c r="E27" s="32" t="str">
        <x:v>https://www.treasury.govt.nz/publications/guide/managing-benefits-projects-and-programmes-better-business-cases</x:v>
      </x:c>
      <x:c r="F27" s="28" t="str">
        <x:v>Official guidance</x:v>
      </x:c>
      <x:c r="G27" s="28" t="str">
        <x:v>Benefits register and realisation discipline</x:v>
      </x:c>
      <x:c r="H27" s="28" t="str">
        <x:v>High</x:v>
      </x:c>
      <x:c r="I27" s="28" t="str">
        <x:v>Benefits require owners, measures, baselines and realisation plans.</x:v>
      </x:c>
      <x:c r="J27" s="339"/>
      <x:c r="K27" s="339"/>
      <x:c r="L27" s="339"/>
      <x:c r="M27" s="339"/>
      <x:c r="N27" s="339"/>
      <x:c r="O27" s="339"/>
      <x:c r="P27" s="339"/>
      <x:c r="Q27" s="339"/>
      <x:c r="R27" s="339"/>
      <x:c r="S27" s="339"/>
      <x:c r="T27" s="339"/>
      <x:c r="U27" s="339"/>
      <x:c r="V27" s="339"/>
      <x:c r="W27" s="339"/>
      <x:c r="X27" s="339"/>
      <x:c r="Y27" s="339"/>
      <x:c r="Z27" s="339"/>
    </x:row>
    <x:row r="28">
      <x:c r="A28" s="34" t="str">
        <x:v>A01</x:v>
      </x:c>
      <x:c r="B28" s="35" t="str">
        <x:v>Transparent professional-services allowance</x:v>
      </x:c>
      <x:c r="C28" s="35" t="str">
        <x:v>Model assumption</x:v>
      </x:c>
      <x:c r="D28" s="35" t="str">
        <x:v>July 2026</x:v>
      </x:c>
      <x:c r="E28" s="36" t="str">
        <x:v>No public quote — replace with procurement evidence</x:v>
      </x:c>
      <x:c r="F28" s="35" t="str">
        <x:v>Model assumption</x:v>
      </x:c>
      <x:c r="G28" s="35" t="str">
        <x:v>Consulting, legal, evaluation, security and integration hours</x:v>
      </x:c>
      <x:c r="H28" s="35" t="str">
        <x:v>Low</x:v>
      </x:c>
      <x:c r="I28" s="35" t="str">
        <x:v>Uses explicit hours × blended rate; not evidence of a supplier price.</x:v>
      </x:c>
      <x:c r="J28" s="339"/>
      <x:c r="K28" s="339"/>
      <x:c r="L28" s="339"/>
      <x:c r="M28" s="339"/>
      <x:c r="N28" s="339"/>
      <x:c r="O28" s="339"/>
      <x:c r="P28" s="339"/>
      <x:c r="Q28" s="339"/>
      <x:c r="R28" s="339"/>
      <x:c r="S28" s="339"/>
      <x:c r="T28" s="339"/>
      <x:c r="U28" s="339"/>
      <x:c r="V28" s="339"/>
      <x:c r="W28" s="339"/>
      <x:c r="X28" s="339"/>
      <x:c r="Y28" s="339"/>
      <x:c r="Z28" s="339"/>
    </x:row>
    <x:row r="29">
      <x:c r="A29" s="34" t="str">
        <x:v>A02</x:v>
      </x:c>
      <x:c r="B29" s="35" t="str">
        <x:v>Co-design, hui and participant-access allowance</x:v>
      </x:c>
      <x:c r="C29" s="35" t="str">
        <x:v>Model assumption</x:v>
      </x:c>
      <x:c r="D29" s="35" t="str">
        <x:v>July 2026</x:v>
      </x:c>
      <x:c r="E29" s="36" t="str">
        <x:v>No public quote — obtain iwi, Pacific, youth and accessibility partner estimates</x:v>
      </x:c>
      <x:c r="F29" s="35" t="str">
        <x:v>Model assumption</x:v>
      </x:c>
      <x:c r="G29" s="35" t="str">
        <x:v>Co-design workshops, honoraria, travel and accessibility</x:v>
      </x:c>
      <x:c r="H29" s="35" t="str">
        <x:v>Low</x:v>
      </x:c>
      <x:c r="I29" s="35" t="str">
        <x:v>Must be co-designed; treating this as a fixed price would be inappropriate.</x:v>
      </x:c>
      <x:c r="J29" s="339"/>
      <x:c r="K29" s="339"/>
      <x:c r="L29" s="339"/>
      <x:c r="M29" s="339"/>
      <x:c r="N29" s="339"/>
      <x:c r="O29" s="339"/>
      <x:c r="P29" s="339"/>
      <x:c r="Q29" s="339"/>
      <x:c r="R29" s="339"/>
      <x:c r="S29" s="339"/>
      <x:c r="T29" s="339"/>
      <x:c r="U29" s="339"/>
      <x:c r="V29" s="339"/>
      <x:c r="W29" s="339"/>
      <x:c r="X29" s="339"/>
      <x:c r="Y29" s="339"/>
      <x:c r="Z29" s="339"/>
    </x:row>
    <x:row r="30">
      <x:c r="A30" s="34" t="str">
        <x:v>A03</x:v>
      </x:c>
      <x:c r="B30" s="35" t="str">
        <x:v>School capacity and readiness grant allowance</x:v>
      </x:c>
      <x:c r="C30" s="35" t="str">
        <x:v>Model assumption</x:v>
      </x:c>
      <x:c r="D30" s="35" t="str">
        <x:v>July 2026</x:v>
      </x:c>
      <x:c r="E30" s="36" t="str">
        <x:v>No public quote — validate with participating schools</x:v>
      </x:c>
      <x:c r="F30" s="35" t="str">
        <x:v>Policy allowance</x:v>
      </x:c>
      <x:c r="G30" s="35" t="str">
        <x:v>School readiness, comparison-school burden and implementation capacity</x:v>
      </x:c>
      <x:c r="H30" s="35" t="str">
        <x:v>Low</x:v>
      </x:c>
      <x:c r="I30" s="35" t="str">
        <x:v>Requires school-level workload testing in Year 0.</x:v>
      </x:c>
      <x:c r="J30" s="339"/>
      <x:c r="K30" s="339"/>
      <x:c r="L30" s="339"/>
      <x:c r="M30" s="339"/>
      <x:c r="N30" s="339"/>
      <x:c r="O30" s="339"/>
      <x:c r="P30" s="339"/>
      <x:c r="Q30" s="339"/>
      <x:c r="R30" s="339"/>
      <x:c r="S30" s="339"/>
      <x:c r="T30" s="339"/>
      <x:c r="U30" s="339"/>
      <x:c r="V30" s="339"/>
      <x:c r="W30" s="339"/>
      <x:c r="X30" s="339"/>
      <x:c r="Y30" s="339"/>
      <x:c r="Z30" s="339"/>
    </x:row>
    <x:row r="31">
      <x:c r="A31" s="34" t="str">
        <x:v>A04</x:v>
      </x:c>
      <x:c r="B31" s="35" t="str">
        <x:v>Technology delivery allowance</x:v>
      </x:c>
      <x:c r="C31" s="35" t="str">
        <x:v>Model assumption</x:v>
      </x:c>
      <x:c r="D31" s="35" t="str">
        <x:v>July 2026</x:v>
      </x:c>
      <x:c r="E31" s="36" t="str">
        <x:v>Role-based hours plus vendor pricing references S09–S13 and S19</x:v>
      </x:c>
      <x:c r="F31" s="35" t="str">
        <x:v>Model assumption</x:v>
      </x:c>
      <x:c r="G31" s="35" t="str">
        <x:v>Platform build, integrations, cloud and support</x:v>
      </x:c>
      <x:c r="H31" s="35" t="str">
        <x:v>Low-Medium</x:v>
      </x:c>
      <x:c r="I31" s="35" t="str">
        <x:v>Must be replaced by architecture, build-vs-buy analysis and competitive quotes.</x:v>
      </x:c>
      <x:c r="J31" s="339"/>
      <x:c r="K31" s="339"/>
      <x:c r="L31" s="339"/>
      <x:c r="M31" s="339"/>
      <x:c r="N31" s="339"/>
      <x:c r="O31" s="339"/>
      <x:c r="P31" s="339"/>
      <x:c r="Q31" s="339"/>
      <x:c r="R31" s="339"/>
      <x:c r="S31" s="339"/>
      <x:c r="T31" s="339"/>
      <x:c r="U31" s="339"/>
      <x:c r="V31" s="339"/>
      <x:c r="W31" s="339"/>
      <x:c r="X31" s="339"/>
      <x:c r="Y31" s="339"/>
      <x:c r="Z31" s="339"/>
    </x:row>
    <x:row r="32">
      <x:c r="A32" s="34" t="str">
        <x:v>A05</x:v>
      </x:c>
      <x:c r="B32" s="35" t="str">
        <x:v>Payment administration allowance</x:v>
      </x:c>
      <x:c r="C32" s="35" t="str">
        <x:v>Model assumption</x:v>
      </x:c>
      <x:c r="D32" s="35" t="str">
        <x:v>July 2026</x:v>
      </x:c>
      <x:c r="E32" s="36" t="str">
        <x:v>No public quote — formal MSD/StudyLink estimate required</x:v>
      </x:c>
      <x:c r="F32" s="35" t="str">
        <x:v>Model assumption</x:v>
      </x:c>
      <x:c r="G32" s="35" t="str">
        <x:v>Payment calculation, reconciliation and Learning Capital Account administration</x:v>
      </x:c>
      <x:c r="H32" s="35" t="str">
        <x:v>Low</x:v>
      </x:c>
      <x:c r="I32" s="35" t="str">
        <x:v>Potentially material; the current value is only a budgetary placeholder.</x:v>
      </x:c>
      <x:c r="J32" s="339"/>
      <x:c r="K32" s="339"/>
      <x:c r="L32" s="339"/>
      <x:c r="M32" s="339"/>
      <x:c r="N32" s="339"/>
      <x:c r="O32" s="339"/>
      <x:c r="P32" s="339"/>
      <x:c r="Q32" s="339"/>
      <x:c r="R32" s="339"/>
      <x:c r="S32" s="339"/>
      <x:c r="T32" s="339"/>
      <x:c r="U32" s="339"/>
      <x:c r="V32" s="339"/>
      <x:c r="W32" s="339"/>
      <x:c r="X32" s="339"/>
      <x:c r="Y32" s="339"/>
      <x:c r="Z32" s="339"/>
    </x:row>
    <x:row r="33">
      <x:c r="A33" s="34" t="str">
        <x:v>A06</x:v>
      </x:c>
      <x:c r="B33" s="35" t="str">
        <x:v>Stipend utilisation assumption</x:v>
      </x:c>
      <x:c r="C33" s="35" t="str">
        <x:v>Model assumption</x:v>
      </x:c>
      <x:c r="D33" s="35" t="str">
        <x:v>July 2026</x:v>
      </x:c>
      <x:c r="E33" s="36" t="str">
        <x:v>Programme design assumption from uploaded proposal</x:v>
      </x:c>
      <x:c r="F33" s="35" t="str">
        <x:v>Policy assumption</x:v>
      </x:c>
      <x:c r="G33" s="35" t="str">
        <x:v>Payment calculation, reconciliation and Learning Capital Account administration</x:v>
      </x:c>
      <x:c r="H33" s="35" t="str">
        <x:v>Low</x:v>
      </x:c>
      <x:c r="I33" s="35" t="str">
        <x:v>This is a behavioural assumption and one of the largest cost drivers.</x:v>
      </x:c>
      <x:c r="J33" s="339"/>
      <x:c r="K33" s="339"/>
      <x:c r="L33" s="339"/>
      <x:c r="M33" s="339"/>
      <x:c r="N33" s="339"/>
      <x:c r="O33" s="339"/>
      <x:c r="P33" s="339"/>
      <x:c r="Q33" s="339"/>
      <x:c r="R33" s="339"/>
      <x:c r="S33" s="339"/>
      <x:c r="T33" s="339"/>
      <x:c r="U33" s="339"/>
      <x:c r="V33" s="339"/>
      <x:c r="W33" s="339"/>
      <x:c r="X33" s="339"/>
      <x:c r="Y33" s="339"/>
      <x:c r="Z33" s="339"/>
    </x:row>
    <x:row r="34">
      <x:c r="A34" s="34" t="str">
        <x:v>A07</x:v>
      </x:c>
      <x:c r="B34" s="35" t="str">
        <x:v>National school-count and cohort alignment</x:v>
      </x:c>
      <x:c r="C34" s="35" t="str">
        <x:v>Model assumption</x:v>
      </x:c>
      <x:c r="D34" s="35" t="str">
        <x:v>July 2026</x:v>
      </x:c>
      <x:c r="E34" s="36" t="str">
        <x:v>Policy specification supplied by the author</x:v>
      </x:c>
      <x:c r="F34" s="35" t="str">
        <x:v>Model assumption</x:v>
      </x:c>
      <x:c r="G34" s="35" t="str">
        <x:v>National rollout sizing</x:v>
      </x:c>
      <x:c r="H34" s="35" t="str">
        <x:v>Low-Medium</x:v>
      </x:c>
      <x:c r="I34" s="35" t="str">
        <x:v>Replace with an exact Year 9–13 roll and eligible-school count.</x:v>
      </x:c>
      <x:c r="J34" s="339"/>
      <x:c r="K34" s="339"/>
      <x:c r="L34" s="339"/>
      <x:c r="M34" s="339"/>
      <x:c r="N34" s="339"/>
      <x:c r="O34" s="339"/>
      <x:c r="P34" s="339"/>
      <x:c r="Q34" s="339"/>
      <x:c r="R34" s="339"/>
      <x:c r="S34" s="339"/>
      <x:c r="T34" s="339"/>
      <x:c r="U34" s="339"/>
      <x:c r="V34" s="339"/>
      <x:c r="W34" s="339"/>
      <x:c r="X34" s="339"/>
      <x:c r="Y34" s="339"/>
      <x:c r="Z34" s="339"/>
    </x:row>
    <x:row r="35">
      <x:c r="A35" s="339"/>
      <x:c r="B35" s="339"/>
      <x:c r="C35" s="339"/>
      <x:c r="D35" s="339"/>
      <x:c r="E35" s="339"/>
      <x:c r="F35" s="339"/>
      <x:c r="G35" s="339"/>
      <x:c r="H35" s="339"/>
      <x:c r="I35" s="339"/>
      <x:c r="J35" s="339"/>
      <x:c r="K35" s="339"/>
      <x:c r="L35" s="339"/>
      <x:c r="M35" s="339"/>
      <x:c r="N35" s="339"/>
      <x:c r="O35" s="339"/>
      <x:c r="P35" s="339"/>
      <x:c r="Q35" s="339"/>
      <x:c r="R35" s="339"/>
      <x:c r="S35" s="339"/>
      <x:c r="T35" s="339"/>
      <x:c r="U35" s="339"/>
      <x:c r="V35" s="339"/>
      <x:c r="W35" s="339"/>
      <x:c r="X35" s="339"/>
      <x:c r="Y35" s="339"/>
      <x:c r="Z35" s="339"/>
    </x:row>
    <x:row r="36">
      <x:c r="A36" s="339"/>
      <x:c r="B36" s="339"/>
      <x:c r="C36" s="339"/>
      <x:c r="D36" s="339"/>
      <x:c r="E36" s="339"/>
      <x:c r="F36" s="339"/>
      <x:c r="G36" s="339"/>
      <x:c r="H36" s="339"/>
      <x:c r="I36" s="339"/>
      <x:c r="J36" s="339"/>
      <x:c r="K36" s="339"/>
      <x:c r="L36" s="339"/>
      <x:c r="M36" s="339"/>
      <x:c r="N36" s="339"/>
      <x:c r="O36" s="339"/>
      <x:c r="P36" s="339"/>
      <x:c r="Q36" s="339"/>
      <x:c r="R36" s="339"/>
      <x:c r="S36" s="339"/>
      <x:c r="T36" s="339"/>
      <x:c r="U36" s="339"/>
      <x:c r="V36" s="339"/>
      <x:c r="W36" s="339"/>
      <x:c r="X36" s="339"/>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339"/>
      <x:c r="V37" s="339"/>
      <x:c r="W37" s="339"/>
      <x:c r="X37" s="339"/>
      <x:c r="Y37" s="339"/>
      <x:c r="Z37" s="339"/>
    </x:row>
    <x:row r="38">
      <x:c r="A38" s="339"/>
      <x:c r="B38" s="339"/>
      <x:c r="C38" s="339"/>
      <x:c r="D38" s="339"/>
      <x:c r="E38" s="339"/>
      <x:c r="F38" s="339"/>
      <x:c r="G38" s="339"/>
      <x:c r="H38" s="339"/>
      <x:c r="I38" s="339"/>
      <x:c r="J38" s="339"/>
      <x:c r="K38" s="339"/>
      <x:c r="L38" s="339"/>
      <x:c r="M38" s="339"/>
      <x:c r="N38" s="339"/>
      <x:c r="O38" s="339"/>
      <x:c r="P38" s="339"/>
      <x:c r="Q38" s="339"/>
      <x:c r="R38" s="339"/>
      <x:c r="S38" s="339"/>
      <x:c r="T38" s="339"/>
      <x:c r="U38" s="339"/>
      <x:c r="V38" s="339"/>
      <x:c r="W38" s="339"/>
      <x:c r="X38" s="339"/>
      <x:c r="Y38" s="339"/>
      <x:c r="Z38" s="339"/>
    </x:row>
    <x:row r="39">
      <x:c r="A39" s="30" t="str">
        <x:v>S24</x:v>
      </x:c>
      <x:c r="B39" s="28" t="str">
        <x:v>Student Loan Scheme Annual Report 2024/25</x:v>
      </x:c>
      <x:c r="C39" s="28" t="str">
        <x:v>Ministry of Education, Inland Revenue, MSD and Stats NZ</x:v>
      </x:c>
      <x:c r="D39" s="28" t="str">
        <x:v>December 2025</x:v>
      </x:c>
      <x:c r="E39" s="32" t="str">
        <x:v>https://www.educationcounts.govt.nz/__data/assets/pdf_file/0019/251326/Student-Loan-Scheme-annual-report-2024-25.pdf</x:v>
      </x:c>
      <x:c r="F39" s="28" t="str">
        <x:v>Audited official report</x:v>
      </x:c>
      <x:c r="G39" s="28" t="str">
        <x:v>Lending, write-down, fair value, repayment times, debt, cost of capital and agency costs</x:v>
      </x:c>
      <x:c r="H39" s="28" t="str">
        <x:v>High</x:v>
      </x:c>
      <x:c r="I39" s="28" t="str">
        <x:v>The official fair-value cost per dollar is the central Crown measure.</x:v>
      </x:c>
      <x:c r="J39" s="339"/>
      <x:c r="K39" s="339"/>
      <x:c r="L39" s="339"/>
      <x:c r="M39" s="339"/>
      <x:c r="N39" s="339"/>
      <x:c r="O39" s="339"/>
      <x:c r="P39" s="339"/>
      <x:c r="Q39" s="339"/>
      <x:c r="R39" s="339"/>
      <x:c r="S39" s="339"/>
      <x:c r="T39" s="339"/>
      <x:c r="U39" s="339"/>
      <x:c r="V39" s="339"/>
      <x:c r="W39" s="339"/>
      <x:c r="X39" s="339"/>
      <x:c r="Y39" s="339"/>
      <x:c r="Z39" s="339"/>
    </x:row>
    <x:row r="40">
      <x:c r="A40" s="30" t="str">
        <x:v>S25</x:v>
      </x:c>
      <x:c r="B40" s="28" t="str">
        <x:v>Student loans — Note 6 to the non-departmental financial schedules</x:v>
      </x:c>
      <x:c r="C40" s="28" t="str">
        <x:v>Inland Revenue</x:v>
      </x:c>
      <x:c r="D40" s="28" t="str">
        <x:v>19 November 2025</x:v>
      </x:c>
      <x:c r="E40" s="32" t="str">
        <x:v>https://www.ird.govt.nz/about-us/publications/annual-corporate-reports/annual-report/annual-report-2025/financial-statements-and-schedules/non-departmental-financial-schedules/notes-to-the-non-departmental-financial-schedules/note-6---student-loans</x:v>
      </x:c>
      <x:c r="F40" s="28" t="str">
        <x:v>Audited official note</x:v>
      </x:c>
      <x:c r="G40" s="28" t="str">
        <x:v>Actuarial fair-value methodology, risk and macroeconomic assumptions</x:v>
      </x:c>
      <x:c r="H40" s="28" t="str">
        <x:v>High</x:v>
      </x:c>
      <x:c r="I40" s="28" t="str">
        <x:v>The valuation is level 3 and inherently uncertain.</x:v>
      </x:c>
      <x:c r="J40" s="339"/>
      <x:c r="K40" s="339"/>
      <x:c r="L40" s="339"/>
      <x:c r="M40" s="339"/>
      <x:c r="N40" s="339"/>
      <x:c r="O40" s="339"/>
      <x:c r="P40" s="339"/>
      <x:c r="Q40" s="339"/>
      <x:c r="R40" s="339"/>
      <x:c r="S40" s="339"/>
      <x:c r="T40" s="339"/>
      <x:c r="U40" s="339"/>
      <x:c r="V40" s="339"/>
      <x:c r="W40" s="339"/>
      <x:c r="X40" s="339"/>
      <x:c r="Y40" s="339"/>
      <x:c r="Z40" s="339"/>
    </x:row>
    <x:row r="41">
      <x:c r="A41" s="30" t="str">
        <x:v>S26</x:v>
      </x:c>
      <x:c r="B41" s="28" t="str">
        <x:v>Discount rates and CPI assumptions for accounting valuation purposes</x:v>
      </x:c>
      <x:c r="C41" s="28" t="str">
        <x:v>New Zealand Treasury</x:v>
      </x:c>
      <x:c r="D41" s="28" t="str">
        <x:v>30 June 2026</x:v>
      </x:c>
      <x:c r="E41" s="32" t="str">
        <x:v>https://www.treasury.govt.nz/information-and-services/public-sector-leadership/guidance/reporting-financial/discount-rates/discount-rates-and-cpi-assumptions-accounting-valuation-purposes</x:v>
      </x:c>
      <x:c r="F41" s="28" t="str">
        <x:v>Official accounting guidance</x:v>
      </x:c>
      <x:c r="G41" s="28" t="str">
        <x:v>Annual CPI and risk-free forward curves</x:v>
      </x:c>
      <x:c r="H41" s="28" t="str">
        <x:v>High, subject to auditor confirmation</x:v>
      </x:c>
      <x:c r="I41" s="28" t="str">
        <x:v>Treasury stated on 3 July 2026 that auditor confirmation was pending.</x:v>
      </x:c>
      <x:c r="J41" s="339"/>
      <x:c r="K41" s="339"/>
      <x:c r="L41" s="339"/>
      <x:c r="M41" s="339"/>
      <x:c r="N41" s="339"/>
      <x:c r="O41" s="339"/>
      <x:c r="P41" s="339"/>
      <x:c r="Q41" s="339"/>
      <x:c r="R41" s="339"/>
      <x:c r="S41" s="339"/>
      <x:c r="T41" s="339"/>
      <x:c r="U41" s="339"/>
      <x:c r="V41" s="339"/>
      <x:c r="W41" s="339"/>
      <x:c r="X41" s="339"/>
      <x:c r="Y41" s="339"/>
      <x:c r="Z41" s="339"/>
    </x:row>
    <x:row r="42">
      <x:c r="A42" s="30" t="str">
        <x:v>S27</x:v>
      </x:c>
      <x:c r="B42" s="28" t="str">
        <x:v>Prices M1 — CPI historical series</x:v>
      </x:c>
      <x:c r="C42" s="28" t="str">
        <x:v>Reserve Bank of New Zealand / Stats NZ</x:v>
      </x:c>
      <x:c r="D42" s="28" t="str">
        <x:v>Released 18 June 2026</x:v>
      </x:c>
      <x:c r="E42" s="32" t="str">
        <x:v>https://www.rbnz.govt.nz/-/media/project/sites/rbnz/files/statistics/series/m/m1/hm1.xlsx</x:v>
      </x:c>
      <x:c r="F42" s="28" t="str">
        <x:v>Official data series</x:v>
      </x:c>
      <x:c r="G42" s="28" t="str">
        <x:v>Ten- and twenty-year geometric CPI calculations</x:v>
      </x:c>
      <x:c r="H42" s="28" t="str">
        <x:v>High</x:v>
      </x:c>
      <x:c r="I42" s="28" t="str">
        <x:v>CPI anchors: March 2006 803; March 2016 979; March 2026 1339.</x:v>
      </x:c>
      <x:c r="J42" s="339"/>
      <x:c r="K42" s="339"/>
      <x:c r="L42" s="339"/>
      <x:c r="M42" s="339"/>
      <x:c r="N42" s="339"/>
      <x:c r="O42" s="339"/>
      <x:c r="P42" s="339"/>
      <x:c r="Q42" s="339"/>
      <x:c r="R42" s="339"/>
      <x:c r="S42" s="339"/>
      <x:c r="T42" s="339"/>
      <x:c r="U42" s="339"/>
      <x:c r="V42" s="339"/>
      <x:c r="W42" s="339"/>
      <x:c r="X42" s="339"/>
      <x:c r="Y42" s="339"/>
      <x:c r="Z42" s="339"/>
    </x:row>
    <x:row r="43">
      <x:c r="A43" s="30" t="str">
        <x:v>S28</x:v>
      </x:c>
      <x:c r="B43" s="28" t="str">
        <x:v>Portfolio investment entity income and prescribed investor rates</x:v>
      </x:c>
      <x:c r="C43" s="28" t="str">
        <x:v>Inland Revenue</x:v>
      </x:c>
      <x:c r="D43" s="28" t="str">
        <x:v>2025–2026 tax guidance</x:v>
      </x:c>
      <x:c r="E43" s="32" t="str">
        <x:v>https://www.ird.govt.nz/income-tax/income-tax-for-individuals/types-of-individual-income/portfolio-investment-entity-income-for-individuals/nz-residents</x:v>
      </x:c>
      <x:c r="F43" s="28" t="str">
        <x:v>Official tax guidance</x:v>
      </x:c>
      <x:c r="G43" s="28" t="str">
        <x:v>Investment-tax scenario and legal design questions</x:v>
      </x:c>
      <x:c r="H43" s="28" t="str">
        <x:v>High for general rules</x:v>
      </x:c>
      <x:c r="I43" s="28" t="str">
        <x:v>Actual account tax treatment depends on legal owner, beneficial owner and provider structure.</x:v>
      </x:c>
      <x:c r="J43" s="339"/>
      <x:c r="K43" s="339"/>
      <x:c r="L43" s="339"/>
      <x:c r="M43" s="339"/>
      <x:c r="N43" s="339"/>
      <x:c r="O43" s="339"/>
      <x:c r="P43" s="339"/>
      <x:c r="Q43" s="339"/>
      <x:c r="R43" s="339"/>
      <x:c r="S43" s="339"/>
      <x:c r="T43" s="339"/>
      <x:c r="U43" s="339"/>
      <x:c r="V43" s="339"/>
      <x:c r="W43" s="339"/>
      <x:c r="X43" s="339"/>
      <x:c r="Y43" s="339"/>
      <x:c r="Z43" s="339"/>
    </x:row>
    <x:row r="44">
      <x:c r="A44" s="30" t="str">
        <x:v>S29</x:v>
      </x:c>
      <x:c r="B44" s="28" t="str">
        <x:v>Managed investment scheme manager requirements</x:v>
      </x:c>
      <x:c r="C44" s="28" t="str">
        <x:v>Financial Markets Authority</x:v>
      </x:c>
      <x:c r="D44" s="28" t="str">
        <x:v>Current statutory guidance</x:v>
      </x:c>
      <x:c r="E44" s="32" t="str">
        <x:v>https://www.fma.govt.nz/business/services/mis-manager/</x:v>
      </x:c>
      <x:c r="F44" s="28" t="str">
        <x:v>Official regulatory guidance</x:v>
      </x:c>
      <x:c r="G44" s="28" t="str">
        <x:v>Provider regulation, disclosure, custody and participant reporting</x:v>
      </x:c>
      <x:c r="H44" s="28" t="str">
        <x:v>High</x:v>
      </x:c>
      <x:c r="I44" s="28" t="str">
        <x:v>Specialist legal advice and competitive procurement remain necessary.</x:v>
      </x:c>
      <x:c r="J44" s="339"/>
      <x:c r="K44" s="339"/>
      <x:c r="L44" s="339"/>
      <x:c r="M44" s="339"/>
      <x:c r="N44" s="339"/>
      <x:c r="O44" s="339"/>
      <x:c r="P44" s="339"/>
      <x:c r="Q44" s="339"/>
      <x:c r="R44" s="339"/>
      <x:c r="S44" s="339"/>
      <x:c r="T44" s="339"/>
      <x:c r="U44" s="339"/>
      <x:c r="V44" s="339"/>
      <x:c r="W44" s="339"/>
      <x:c r="X44" s="339"/>
      <x:c r="Y44" s="339"/>
      <x:c r="Z44" s="339"/>
    </x:row>
    <x:row r="45">
      <x:c r="A45" s="30" t="str">
        <x:v>S30</x:v>
      </x:c>
      <x:c r="B45" s="28" t="str">
        <x:v>Managed fund fees and value for money</x:v>
      </x:c>
      <x:c r="C45" s="28" t="str">
        <x:v>Financial Markets Authority</x:v>
      </x:c>
      <x:c r="D45" s="28" t="str">
        <x:v>April 2021</x:v>
      </x:c>
      <x:c r="E45" s="32" t="str">
        <x:v>https://www.fma.govt.nz/library/guidance-library/managed-fund-fees-value-for-money/</x:v>
      </x:c>
      <x:c r="F45" s="28" t="str">
        <x:v>Official regulatory guidance</x:v>
      </x:c>
      <x:c r="G45" s="28" t="str">
        <x:v>Low-fee procurement and value-for-money controls</x:v>
      </x:c>
      <x:c r="H45" s="28" t="str">
        <x:v>High</x:v>
      </x:c>
      <x:c r="I45" s="28" t="str">
        <x:v>No commercial provider is endorsed by this model.</x:v>
      </x:c>
      <x:c r="J45" s="339"/>
      <x:c r="K45" s="339"/>
      <x:c r="L45" s="339"/>
      <x:c r="M45" s="339"/>
      <x:c r="N45" s="339"/>
      <x:c r="O45" s="339"/>
      <x:c r="P45" s="339"/>
      <x:c r="Q45" s="339"/>
      <x:c r="R45" s="339"/>
      <x:c r="S45" s="339"/>
      <x:c r="T45" s="339"/>
      <x:c r="U45" s="339"/>
      <x:c r="V45" s="339"/>
      <x:c r="W45" s="339"/>
      <x:c r="X45" s="339"/>
      <x:c r="Y45" s="339"/>
      <x:c r="Z45" s="339"/>
    </x:row>
    <x:row r="46">
      <x:c r="A46" s="30" t="str">
        <x:v>S31</x:v>
      </x:c>
      <x:c r="B46" s="28" t="str">
        <x:v>Annual Report 2024/25</x:v>
      </x:c>
      <x:c r="C46" s="28" t="str">
        <x:v>Department of Corrections</x:v>
      </x:c>
      <x:c r="D46" s="28" t="str">
        <x:v>September 2025</x:v>
      </x:c>
      <x:c r="E46" s="32" t="str">
        <x:v>https://www.corrections.govt.nz/__data/assets/pdf_file/0003/64920/Annual_Report_2024-2025.pdf</x:v>
      </x:c>
      <x:c r="F46" s="28" t="str">
        <x:v>Official annual report</x:v>
      </x:c>
      <x:c r="G46" s="28" t="str">
        <x:v>Sentenced-prison resource-cost cross-check</x:v>
      </x:c>
      <x:c r="H46" s="28" t="str">
        <x:v>High</x:v>
      </x:c>
      <x:c r="I46" s="28" t="str">
        <x:v>Average cost includes overhead and fixed costs; cashable marginal savings may be zero.</x:v>
      </x:c>
      <x:c r="J46" s="339"/>
      <x:c r="K46" s="339"/>
      <x:c r="L46" s="339"/>
      <x:c r="M46" s="339"/>
      <x:c r="N46" s="339"/>
      <x:c r="O46" s="339"/>
      <x:c r="P46" s="339"/>
      <x:c r="Q46" s="339"/>
      <x:c r="R46" s="339"/>
      <x:c r="S46" s="339"/>
      <x:c r="T46" s="339"/>
      <x:c r="U46" s="339"/>
      <x:c r="V46" s="339"/>
      <x:c r="W46" s="339"/>
      <x:c r="X46" s="339"/>
      <x:c r="Y46" s="339"/>
      <x:c r="Z46" s="339"/>
    </x:row>
    <x:row r="47">
      <x:c r="A47" s="30" t="str">
        <x:v>S32</x:v>
      </x:c>
      <x:c r="B47" s="28" t="str">
        <x:v>New Zealand's workplace-based learners</x:v>
      </x:c>
      <x:c r="C47" s="28" t="str">
        <x:v>Ministry of Education — Education Counts</x:v>
      </x:c>
      <x:c r="D47" s="28" t="str">
        <x:v>2025 data</x:v>
      </x:c>
      <x:c r="E47" s="32" t="str">
        <x:v>https://www.educationcounts.govt.nz/statistics/new-zealands-workplace-based-learners</x:v>
      </x:c>
      <x:c r="F47" s="28" t="str">
        <x:v>Official statistics</x:v>
      </x:c>
      <x:c r="G47" s="28" t="str">
        <x:v>Apprenticeship participation and completion context</x:v>
      </x:c>
      <x:c r="H47" s="28" t="str">
        <x:v>High for population statistics</x:v>
      </x:c>
      <x:c r="I47" s="28" t="str">
        <x:v>Programme-specific entry and completion effects remain unsupported.</x:v>
      </x:c>
      <x:c r="J47" s="339"/>
      <x:c r="K47" s="339"/>
      <x:c r="L47" s="339"/>
      <x:c r="M47" s="339"/>
      <x:c r="N47" s="339"/>
      <x:c r="O47" s="339"/>
      <x:c r="P47" s="339"/>
      <x:c r="Q47" s="339"/>
      <x:c r="R47" s="339"/>
      <x:c r="S47" s="339"/>
      <x:c r="T47" s="339"/>
      <x:c r="U47" s="339"/>
      <x:c r="V47" s="339"/>
      <x:c r="W47" s="339"/>
      <x:c r="X47" s="339"/>
      <x:c r="Y47" s="339"/>
      <x:c r="Z47" s="339"/>
    </x:row>
    <x:row r="48">
      <x:c r="A48" s="30" t="str">
        <x:v>S33</x:v>
      </x:c>
      <x:c r="B48" s="28" t="str">
        <x:v>Statistics on student-loan balances</x:v>
      </x:c>
      <x:c r="C48" s="28" t="str">
        <x:v>Inland Revenue</x:v>
      </x:c>
      <x:c r="D48" s="28" t="str">
        <x:v>March 2026 quarter</x:v>
      </x:c>
      <x:c r="E48" s="32" t="str">
        <x:v>https://www.ird.govt.nz/about-us/tax-statistics/statistics-on-the-student-loan-scheme/statistics-on-student-loan-balances</x:v>
      </x:c>
      <x:c r="F48" s="28" t="str">
        <x:v>Official quarterly statistics</x:v>
      </x:c>
      <x:c r="G48" s="28" t="str">
        <x:v>Latest median and nominal loan balances</x:v>
      </x:c>
      <x:c r="H48" s="28" t="str">
        <x:v>High</x:v>
      </x:c>
      <x:c r="I48" s="28" t="str">
        <x:v>Quarterly figures supplement but do not replace the audited annual report.</x:v>
      </x:c>
      <x:c r="J48" s="339"/>
      <x:c r="K48" s="339"/>
      <x:c r="L48" s="339"/>
      <x:c r="M48" s="339"/>
      <x:c r="N48" s="339"/>
      <x:c r="O48" s="339"/>
      <x:c r="P48" s="339"/>
      <x:c r="Q48" s="339"/>
      <x:c r="R48" s="339"/>
      <x:c r="S48" s="339"/>
      <x:c r="T48" s="339"/>
      <x:c r="U48" s="339"/>
      <x:c r="V48" s="339"/>
      <x:c r="W48" s="339"/>
      <x:c r="X48" s="339"/>
      <x:c r="Y48" s="339"/>
      <x:c r="Z48" s="339"/>
    </x:row>
    <x:row r="49">
      <x:c r="A49" s="500" t="str">
        <x:v>A08</x:v>
      </x:c>
      <x:c r="B49" s="501" t="str">
        <x:v>Investment-return scenarios</x:v>
      </x:c>
      <x:c r="C49" s="501" t="str">
        <x:v>Model assumption</x:v>
      </x:c>
      <x:c r="D49" s="501" t="str">
        <x:v>July 2026</x:v>
      </x:c>
      <x:c r="E49" s="502" t="str">
        <x:v>No guaranteed return; test 0%, 2%, 4%, 6% and a downturn</x:v>
      </x:c>
      <x:c r="F49" s="501" t="str">
        <x:v>Scenario assumption</x:v>
      </x:c>
      <x:c r="G49" s="501" t="str">
        <x:v>Learning Capital Account accumulation</x:v>
      </x:c>
      <x:c r="H49" s="501" t="str">
        <x:v>Low</x:v>
      </x:c>
      <x:c r="I49" s="501" t="str">
        <x:v>Returns vary with market conditions, mandate, lifecycle settings, fees and tax.</x:v>
      </x:c>
      <x:c r="J49" s="339"/>
      <x:c r="K49" s="339"/>
      <x:c r="L49" s="339"/>
      <x:c r="M49" s="339"/>
      <x:c r="N49" s="339"/>
      <x:c r="O49" s="339"/>
      <x:c r="P49" s="339"/>
      <x:c r="Q49" s="339"/>
      <x:c r="R49" s="339"/>
      <x:c r="S49" s="339"/>
      <x:c r="T49" s="339"/>
      <x:c r="U49" s="339"/>
      <x:c r="V49" s="339"/>
      <x:c r="W49" s="339"/>
      <x:c r="X49" s="339"/>
      <x:c r="Y49" s="339"/>
      <x:c r="Z49" s="339"/>
    </x:row>
    <x:row r="50">
      <x:c r="A50" s="500" t="str">
        <x:v>A09</x:v>
      </x:c>
      <x:c r="B50" s="501" t="str">
        <x:v>Learning Capital Account fee and administration allowance</x:v>
      </x:c>
      <x:c r="C50" s="501" t="str">
        <x:v>Model assumption</x:v>
      </x:c>
      <x:c r="D50" s="501" t="str">
        <x:v>July 2026</x:v>
      </x:c>
      <x:c r="E50" s="502" t="str">
        <x:v>Competitive provider and custodian quotes required</x:v>
      </x:c>
      <x:c r="F50" s="501" t="str">
        <x:v>Scenario assumption</x:v>
      </x:c>
      <x:c r="G50" s="501" t="str">
        <x:v>Account fee drag and public administration</x:v>
      </x:c>
      <x:c r="H50" s="501" t="str">
        <x:v>Low</x:v>
      </x:c>
      <x:c r="I50" s="501" t="str">
        <x:v>Percentage fees and per-account public administration are separate.</x:v>
      </x:c>
      <x:c r="J50" s="339"/>
      <x:c r="K50" s="339"/>
      <x:c r="L50" s="339"/>
      <x:c r="M50" s="339"/>
      <x:c r="N50" s="339"/>
      <x:c r="O50" s="339"/>
      <x:c r="P50" s="339"/>
      <x:c r="Q50" s="339"/>
      <x:c r="R50" s="339"/>
      <x:c r="S50" s="339"/>
      <x:c r="T50" s="339"/>
      <x:c r="U50" s="339"/>
      <x:c r="V50" s="339"/>
      <x:c r="W50" s="339"/>
      <x:c r="X50" s="339"/>
      <x:c r="Y50" s="339"/>
      <x:c r="Z50" s="339"/>
    </x:row>
    <x:row r="51">
      <x:c r="A51" s="500" t="str">
        <x:v>A10</x:v>
      </x:c>
      <x:c r="B51" s="501" t="str">
        <x:v>Effective investment-tax drag</x:v>
      </x:c>
      <x:c r="C51" s="501" t="str">
        <x:v>Model assumption</x:v>
      </x:c>
      <x:c r="D51" s="501" t="str">
        <x:v>July 2026</x:v>
      </x:c>
      <x:c r="E51" s="502" t="str">
        <x:v>Specialist tax advice required</x:v>
      </x:c>
      <x:c r="F51" s="501" t="str">
        <x:v>Scenario assumption</x:v>
      </x:c>
      <x:c r="G51" s="501" t="str">
        <x:v>Investment accumulation</x:v>
      </x:c>
      <x:c r="H51" s="501" t="str">
        <x:v>Low</x:v>
      </x:c>
      <x:c r="I51" s="501" t="str">
        <x:v>Not a statutory PIR or tax rate.</x:v>
      </x:c>
      <x:c r="J51" s="339"/>
      <x:c r="K51" s="339"/>
      <x:c r="L51" s="339"/>
      <x:c r="M51" s="339"/>
      <x:c r="N51" s="339"/>
      <x:c r="O51" s="339"/>
      <x:c r="P51" s="339"/>
      <x:c r="Q51" s="339"/>
      <x:c r="R51" s="339"/>
      <x:c r="S51" s="339"/>
      <x:c r="T51" s="339"/>
      <x:c r="U51" s="339"/>
      <x:c r="V51" s="339"/>
      <x:c r="W51" s="339"/>
      <x:c r="X51" s="339"/>
      <x:c r="Y51" s="339"/>
      <x:c r="Z51" s="339"/>
    </x:row>
    <x:row r="52">
      <x:c r="A52" s="500" t="str">
        <x:v>A11</x:v>
      </x:c>
      <x:c r="B52" s="501" t="str">
        <x:v>Tertiary and apprenticeship entry assumptions</x:v>
      </x:c>
      <x:c r="C52" s="501" t="str">
        <x:v>Model assumption</x:v>
      </x:c>
      <x:c r="D52" s="501" t="str">
        <x:v>July 2026</x:v>
      </x:c>
      <x:c r="E52" s="502" t="str">
        <x:v>Linked-data baseline and pilot follow-up required</x:v>
      </x:c>
      <x:c r="F52" s="501" t="str">
        <x:v>Scenario assumption</x:v>
      </x:c>
      <x:c r="G52" s="501" t="str">
        <x:v>Eligible account withdrawals</x:v>
      </x:c>
      <x:c r="H52" s="501" t="str">
        <x:v>Low</x:v>
      </x:c>
      <x:c r="I52" s="501" t="str">
        <x:v>National population rates are not automatically applicable to the target cohort.</x:v>
      </x:c>
      <x:c r="J52" s="339"/>
      <x:c r="K52" s="339"/>
      <x:c r="L52" s="339"/>
      <x:c r="M52" s="339"/>
      <x:c r="N52" s="339"/>
      <x:c r="O52" s="339"/>
      <x:c r="P52" s="339"/>
      <x:c r="Q52" s="339"/>
      <x:c r="R52" s="339"/>
      <x:c r="S52" s="339"/>
      <x:c r="T52" s="339"/>
      <x:c r="U52" s="339"/>
      <x:c r="V52" s="339"/>
      <x:c r="W52" s="339"/>
      <x:c r="X52" s="339"/>
      <x:c r="Y52" s="339"/>
      <x:c r="Z52" s="339"/>
    </x:row>
    <x:row r="53">
      <x:c r="A53" s="500" t="str">
        <x:v>A12</x:v>
      </x:c>
      <x:c r="B53" s="501" t="str">
        <x:v>Student-loan displacement assumptions</x:v>
      </x:c>
      <x:c r="C53" s="501" t="str">
        <x:v>Model assumption</x:v>
      </x:c>
      <x:c r="D53" s="501" t="str">
        <x:v>July 2026</x:v>
      </x:c>
      <x:c r="E53" s="502" t="str">
        <x:v>Participant counterfactual and administrative data required</x:v>
      </x:c>
      <x:c r="F53" s="501" t="str">
        <x:v>Scenario assumption</x:v>
      </x:c>
      <x:c r="G53" s="501" t="str">
        <x:v>Borrowing replacement, additional study and family-funding substitution</x:v>
      </x:c>
      <x:c r="H53" s="501" t="str">
        <x:v>Low</x:v>
      </x:c>
      <x:c r="I53" s="501" t="str">
        <x:v>The full withdrawal cannot be treated as Crown saving.</x:v>
      </x:c>
      <x:c r="J53" s="339"/>
      <x:c r="K53" s="339"/>
      <x:c r="L53" s="339"/>
      <x:c r="M53" s="339"/>
      <x:c r="N53" s="339"/>
      <x:c r="O53" s="339"/>
      <x:c r="P53" s="339"/>
      <x:c r="Q53" s="339"/>
      <x:c r="R53" s="339"/>
      <x:c r="S53" s="339"/>
      <x:c r="T53" s="339"/>
      <x:c r="U53" s="339"/>
      <x:c r="V53" s="339"/>
      <x:c r="W53" s="339"/>
      <x:c r="X53" s="339"/>
      <x:c r="Y53" s="339"/>
      <x:c r="Z53" s="339"/>
    </x:row>
    <x:row r="54">
      <x:c r="A54" s="500" t="str">
        <x:v>A13</x:v>
      </x:c>
      <x:c r="B54" s="501" t="str">
        <x:v>Approved-use account utilisation</x:v>
      </x:c>
      <x:c r="C54" s="501" t="str">
        <x:v>Model assumption</x:v>
      </x:c>
      <x:c r="D54" s="501" t="str">
        <x:v>July 2026</x:v>
      </x:c>
      <x:c r="E54" s="502" t="str">
        <x:v>Pilot behaviour and provider-payment data required</x:v>
      </x:c>
      <x:c r="F54" s="501" t="str">
        <x:v>Scenario assumption</x:v>
      </x:c>
      <x:c r="G54" s="501" t="str">
        <x:v>Timing and amount of withdrawals</x:v>
      </x:c>
      <x:c r="H54" s="501" t="str">
        <x:v>Low</x:v>
      </x:c>
      <x:c r="I54" s="501" t="str">
        <x:v>Unused balances remain protected under the policy rules.</x:v>
      </x:c>
      <x:c r="J54" s="339"/>
      <x:c r="K54" s="339"/>
      <x:c r="L54" s="339"/>
      <x:c r="M54" s="339"/>
      <x:c r="N54" s="339"/>
      <x:c r="O54" s="339"/>
      <x:c r="P54" s="339"/>
      <x:c r="Q54" s="339"/>
      <x:c r="R54" s="339"/>
      <x:c r="S54" s="339"/>
      <x:c r="T54" s="339"/>
      <x:c r="U54" s="339"/>
      <x:c r="V54" s="339"/>
      <x:c r="W54" s="339"/>
      <x:c r="X54" s="339"/>
      <x:c r="Y54" s="339"/>
      <x:c r="Z54" s="339"/>
    </x:row>
    <x:row r="55">
      <x:c r="A55" s="500" t="str">
        <x:v>A14</x:v>
      </x:c>
      <x:c r="B55" s="501" t="str">
        <x:v>Education and apprenticeship withdrawal schedule</x:v>
      </x:c>
      <x:c r="C55" s="501" t="str">
        <x:v>Model assumption</x:v>
      </x:c>
      <x:c r="D55" s="501" t="str">
        <x:v>July 2026</x:v>
      </x:c>
      <x:c r="E55" s="502" t="str">
        <x:v>Co-design with learners, providers and apprenticeship bodies required</x:v>
      </x:c>
      <x:c r="F55" s="501" t="str">
        <x:v>Scenario assumption</x:v>
      </x:c>
      <x:c r="G55" s="501" t="str">
        <x:v>Staged releases and completion tranche</x:v>
      </x:c>
      <x:c r="H55" s="501" t="str">
        <x:v>Low</x:v>
      </x:c>
      <x:c r="I55" s="501" t="str">
        <x:v>Apprenticeship withdrawals should occur at verified stages.</x:v>
      </x:c>
      <x:c r="J55" s="339"/>
      <x:c r="K55" s="339"/>
      <x:c r="L55" s="339"/>
      <x:c r="M55" s="339"/>
      <x:c r="N55" s="339"/>
      <x:c r="O55" s="339"/>
      <x:c r="P55" s="339"/>
      <x:c r="Q55" s="339"/>
      <x:c r="R55" s="339"/>
      <x:c r="S55" s="339"/>
      <x:c r="T55" s="339"/>
      <x:c r="U55" s="339"/>
      <x:c r="V55" s="339"/>
      <x:c r="W55" s="339"/>
      <x:c r="X55" s="339"/>
      <x:c r="Y55" s="339"/>
      <x:c r="Z55" s="339"/>
    </x:row>
    <x:row r="56">
      <x:c r="A56" s="500" t="str">
        <x:v>A15</x:v>
      </x:c>
      <x:c r="B56" s="501" t="str">
        <x:v>Learning Capital Account legal and accounting structure</x:v>
      </x:c>
      <x:c r="C56" s="501" t="str">
        <x:v>Model requirement</x:v>
      </x:c>
      <x:c r="D56" s="501" t="str">
        <x:v>July 2026</x:v>
      </x:c>
      <x:c r="E56" s="502" t="str">
        <x:v>Specialist Crown accounting, trust, tax and financial-markets advice required</x:v>
      </x:c>
      <x:c r="F56" s="501" t="str">
        <x:v>Validation requirement</x:v>
      </x:c>
      <x:c r="G56" s="501" t="str">
        <x:v>Legal ownership, beneficial ownership, Crown control, vesting and restrictions</x:v>
      </x:c>
      <x:c r="H56" s="501" t="str">
        <x:v>Low until resolved</x:v>
      </x:c>
      <x:c r="I56" s="501" t="str">
        <x:v>No accounting treatment is asserted.</x:v>
      </x:c>
      <x:c r="J56" s="339"/>
      <x:c r="K56" s="339"/>
      <x:c r="L56" s="339"/>
      <x:c r="M56" s="339"/>
      <x:c r="N56" s="339"/>
      <x:c r="O56" s="339"/>
      <x:c r="P56" s="339"/>
      <x:c r="Q56" s="339"/>
      <x:c r="R56" s="339"/>
      <x:c r="S56" s="339"/>
      <x:c r="T56" s="339"/>
      <x:c r="U56" s="339"/>
      <x:c r="V56" s="339"/>
      <x:c r="W56" s="339"/>
      <x:c r="X56" s="339"/>
      <x:c r="Y56" s="339"/>
      <x:c r="Z56" s="339"/>
    </x:row>
    <x:row r="57">
      <x:c r="A57" s="500" t="str">
        <x:v>A16</x:v>
      </x:c>
      <x:c r="B57" s="501" t="str">
        <x:v>Incremental tertiary-system fiscal cost</x:v>
      </x:c>
      <x:c r="C57" s="501" t="str">
        <x:v>Model assumption</x:v>
      </x:c>
      <x:c r="D57" s="501" t="str">
        <x:v>July 2026</x:v>
      </x:c>
      <x:c r="E57" s="502" t="str">
        <x:v>Pathway-specific TEC and provider costing required</x:v>
      </x:c>
      <x:c r="F57" s="501" t="str">
        <x:v>Scenario assumption</x:v>
      </x:c>
      <x:c r="G57" s="501" t="str">
        <x:v>Additional study enabled by the account</x:v>
      </x:c>
      <x:c r="H57" s="501" t="str">
        <x:v>Low</x:v>
      </x:c>
      <x:c r="I57" s="501" t="str">
        <x:v>A genuine consequential cost must be recognised if participation increases.</x:v>
      </x:c>
      <x:c r="J57" s="339"/>
      <x:c r="K57" s="339"/>
      <x:c r="L57" s="339"/>
      <x:c r="M57" s="339"/>
      <x:c r="N57" s="339"/>
      <x:c r="O57" s="339"/>
      <x:c r="P57" s="339"/>
      <x:c r="Q57" s="339"/>
      <x:c r="R57" s="339"/>
      <x:c r="S57" s="339"/>
      <x:c r="T57" s="339"/>
      <x:c r="U57" s="339"/>
      <x:c r="V57" s="339"/>
      <x:c r="W57" s="339"/>
      <x:c r="X57" s="339"/>
      <x:c r="Y57" s="339"/>
      <x:c r="Z57" s="339"/>
    </x:row>
    <x:row r="58">
      <x:c r="A58" s="500" t="str">
        <x:v>A17</x:v>
      </x:c>
      <x:c r="B58" s="501" t="str">
        <x:v>Justice attribution sensitivity</x:v>
      </x:c>
      <x:c r="C58" s="501" t="str">
        <x:v>Model assumption</x:v>
      </x:c>
      <x:c r="D58" s="501" t="str">
        <x:v>July 2026</x:v>
      </x:c>
      <x:c r="E58" s="502" t="str">
        <x:v>Linked-data causal evidence required</x:v>
      </x:c>
      <x:c r="F58" s="501" t="str">
        <x:v>Sensitivity only</x:v>
      </x:c>
      <x:c r="G58" s="501" t="str">
        <x:v>0%, 0.5%, 1.0% and 2.0% prisoner-year sensitivities</x:v>
      </x:c>
      <x:c r="H58" s="501" t="str">
        <x:v>Low</x:v>
      </x:c>
      <x:c r="I58" s="501" t="str">
        <x:v>Not an evidence-based forecast and not assumed cashable.</x:v>
      </x:c>
      <x:c r="J58" s="339"/>
      <x:c r="K58" s="339"/>
      <x:c r="L58" s="339"/>
      <x:c r="M58" s="339"/>
      <x:c r="N58" s="339"/>
      <x:c r="O58" s="339"/>
      <x:c r="P58" s="339"/>
      <x:c r="Q58" s="339"/>
      <x:c r="R58" s="339"/>
      <x:c r="S58" s="339"/>
      <x:c r="T58" s="339"/>
      <x:c r="U58" s="339"/>
      <x:c r="V58" s="339"/>
      <x:c r="W58" s="339"/>
      <x:c r="X58" s="339"/>
      <x:c r="Y58" s="339"/>
      <x:c r="Z58" s="339"/>
    </x:row>
    <x:row r="59">
      <x:c r="A59" s="30" t="str">
        <x:v>S34</x:v>
      </x:c>
      <x:c r="B59" s="28" t="str">
        <x:v>Income and earnings statistics by qualification and age, 2010–2025</x:v>
      </x:c>
      <x:c r="C59" s="28" t="str">
        <x:v>Ministry of Education / Stats NZ</x:v>
      </x:c>
      <x:c r="D59" s="28" t="str">
        <x:v>2025 data; released 2026</x:v>
      </x:c>
      <x:c r="E59" s="32" t="str">
        <x:v>https://www.educationcounts.govt.nz/statistics/beyond-study/Education-income-earnings-2010-2025.xlsx</x:v>
      </x:c>
      <x:c r="F59" s="28" t="str">
        <x:v>Official customised statistics</x:v>
      </x:c>
      <x:c r="G59" s="28" t="str">
        <x:v>Age-earnings and qualification earnings profiles</x:v>
      </x:c>
      <x:c r="H59" s="28" t="str">
        <x:v>High</x:v>
      </x:c>
      <x:c r="I59" s="28" t="str">
        <x:v>Survey estimates have sampling error; they show association, not programme causality.</x:v>
      </x:c>
      <x:c r="J59" s="339"/>
      <x:c r="K59" s="339"/>
      <x:c r="L59" s="339"/>
      <x:c r="M59" s="339"/>
      <x:c r="N59" s="339"/>
      <x:c r="O59" s="339"/>
      <x:c r="P59" s="339"/>
      <x:c r="Q59" s="339"/>
      <x:c r="R59" s="339"/>
      <x:c r="S59" s="339"/>
      <x:c r="T59" s="339"/>
      <x:c r="U59" s="339"/>
      <x:c r="V59" s="339"/>
      <x:c r="W59" s="339"/>
      <x:c r="X59" s="339"/>
      <x:c r="Y59" s="339"/>
      <x:c r="Z59" s="339"/>
    </x:row>
    <x:row r="60">
      <x:c r="A60" s="30" t="str">
        <x:v>S35</x:v>
      </x:c>
      <x:c r="B60" s="28" t="str">
        <x:v>Attendance statistics — Term 1 2026</x:v>
      </x:c>
      <x:c r="C60" s="28" t="str">
        <x:v>Ministry of Education — Education Counts</x:v>
      </x:c>
      <x:c r="D60" s="28" t="str">
        <x:v>Term 1 2026</x:v>
      </x:c>
      <x:c r="E60" s="32" t="str">
        <x:v>https://www.educationcounts.govt.nz/statistics/attendance</x:v>
      </x:c>
      <x:c r="F60" s="28" t="str">
        <x:v>Official statistics</x:v>
      </x:c>
      <x:c r="G60" s="28" t="str">
        <x:v>Regular-attendance counterfactual</x:v>
      </x:c>
      <x:c r="H60" s="28" t="str">
        <x:v>High</x:v>
      </x:c>
      <x:c r="I60" s="28" t="str">
        <x:v>Regular attendance was 68.8%; term measures must not be confused with daily attendance.</x:v>
      </x:c>
      <x:c r="J60" s="339"/>
      <x:c r="K60" s="339"/>
      <x:c r="L60" s="339"/>
      <x:c r="M60" s="339"/>
      <x:c r="N60" s="339"/>
      <x:c r="O60" s="339"/>
      <x:c r="P60" s="339"/>
      <x:c r="Q60" s="339"/>
      <x:c r="R60" s="339"/>
      <x:c r="S60" s="339"/>
      <x:c r="T60" s="339"/>
      <x:c r="U60" s="339"/>
      <x:c r="V60" s="339"/>
      <x:c r="W60" s="339"/>
      <x:c r="X60" s="339"/>
      <x:c r="Y60" s="339"/>
      <x:c r="Z60" s="339"/>
    </x:row>
    <x:row r="61">
      <x:c r="A61" s="30" t="str">
        <x:v>S36</x:v>
      </x:c>
      <x:c r="B61" s="28" t="str">
        <x:v>Regional summary with New Zealand school-leaver qualification benchmarks</x:v>
      </x:c>
      <x:c r="C61" s="28" t="str">
        <x:v>Ministry of Education — Education Counts</x:v>
      </x:c>
      <x:c r="D61" s="28" t="str">
        <x:v>2024 school leavers</x:v>
      </x:c>
      <x:c r="E61" s="32" t="str">
        <x:v>https://www.educationcounts.govt.nz/know-your-region/region/region-summary?region=2</x:v>
      </x:c>
      <x:c r="F61" s="28" t="str">
        <x:v>Official statistics</x:v>
      </x:c>
      <x:c r="G61" s="28" t="str">
        <x:v>National NCEA Level 2 and Level 3 counterfactual rates</x:v>
      </x:c>
      <x:c r="H61" s="28" t="str">
        <x:v>High for published benchmarks</x:v>
      </x:c>
      <x:c r="I61" s="28" t="str">
        <x:v>The page displays Auckland and New Zealand values; the model uses the New Zealand benchmark.</x:v>
      </x:c>
      <x:c r="J61" s="339"/>
      <x:c r="K61" s="339"/>
      <x:c r="L61" s="339"/>
      <x:c r="M61" s="339"/>
      <x:c r="N61" s="339"/>
      <x:c r="O61" s="339"/>
      <x:c r="P61" s="339"/>
      <x:c r="Q61" s="339"/>
      <x:c r="R61" s="339"/>
      <x:c r="S61" s="339"/>
      <x:c r="T61" s="339"/>
      <x:c r="U61" s="339"/>
      <x:c r="V61" s="339"/>
      <x:c r="W61" s="339"/>
      <x:c r="X61" s="339"/>
      <x:c r="Y61" s="339"/>
      <x:c r="Z61" s="339"/>
    </x:row>
    <x:row r="62">
      <x:c r="A62" s="30" t="str">
        <x:v>S37</x:v>
      </x:c>
      <x:c r="B62" s="28" t="str">
        <x:v>Pathways from Year 11</x:v>
      </x:c>
      <x:c r="C62" s="28" t="str">
        <x:v>Ministry of Education — Education Counts</x:v>
      </x:c>
      <x:c r="D62" s="28" t="str">
        <x:v>2020–2023 cohorts; 2025 release</x:v>
      </x:c>
      <x:c r="E62" s="32" t="str">
        <x:v>https://www.educationcounts.govt.nz/statistics/pathways-year-11-cohort</x:v>
      </x:c>
      <x:c r="F62" s="28" t="str">
        <x:v>Official longitudinal statistics</x:v>
      </x:c>
      <x:c r="G62" s="28" t="str">
        <x:v>Level 2 attainment timing and persistence context</x:v>
      </x:c>
      <x:c r="H62" s="28" t="str">
        <x:v>High</x:v>
      </x:c>
      <x:c r="I62" s="28" t="str">
        <x:v>Cohort attainment is not a causal estimate of programme impact.</x:v>
      </x:c>
      <x:c r="J62" s="339"/>
      <x:c r="K62" s="339"/>
      <x:c r="L62" s="339"/>
      <x:c r="M62" s="339"/>
      <x:c r="N62" s="339"/>
      <x:c r="O62" s="339"/>
      <x:c r="P62" s="339"/>
      <x:c r="Q62" s="339"/>
      <x:c r="R62" s="339"/>
      <x:c r="S62" s="339"/>
      <x:c r="T62" s="339"/>
      <x:c r="U62" s="339"/>
      <x:c r="V62" s="339"/>
      <x:c r="W62" s="339"/>
      <x:c r="X62" s="339"/>
      <x:c r="Y62" s="339"/>
      <x:c r="Z62" s="339"/>
    </x:row>
    <x:row r="63">
      <x:c r="A63" s="30" t="str">
        <x:v>S38</x:v>
      </x:c>
      <x:c r="B63" s="28" t="str">
        <x:v>New Zealand's workplace-based learners</x:v>
      </x:c>
      <x:c r="C63" s="28" t="str">
        <x:v>Ministry of Education — Education Counts</x:v>
      </x:c>
      <x:c r="D63" s="28" t="str">
        <x:v>2025</x:v>
      </x:c>
      <x:c r="E63" s="32" t="str">
        <x:v>https://www.educationcounts.govt.nz/statistics/new-zealands-workplace-based-learners</x:v>
      </x:c>
      <x:c r="F63" s="28" t="str">
        <x:v>Official statistics</x:v>
      </x:c>
      <x:c r="G63" s="28" t="str">
        <x:v>Apprenticeship entry and completion context</x:v>
      </x:c>
      <x:c r="H63" s="28" t="str">
        <x:v>High</x:v>
      </x:c>
      <x:c r="I63" s="28" t="str">
        <x:v>The 2025 five-year apprentice completion rate was 40%; target-cohort effects remain unproven.</x:v>
      </x:c>
      <x:c r="J63" s="339"/>
      <x:c r="K63" s="339"/>
      <x:c r="L63" s="339"/>
      <x:c r="M63" s="339"/>
      <x:c r="N63" s="339"/>
      <x:c r="O63" s="339"/>
      <x:c r="P63" s="339"/>
      <x:c r="Q63" s="339"/>
      <x:c r="R63" s="339"/>
      <x:c r="S63" s="339"/>
      <x:c r="T63" s="339"/>
      <x:c r="U63" s="339"/>
      <x:c r="V63" s="339"/>
      <x:c r="W63" s="339"/>
      <x:c r="X63" s="339"/>
      <x:c r="Y63" s="339"/>
      <x:c r="Z63" s="339"/>
    </x:row>
    <x:row r="64">
      <x:c r="A64" s="30" t="str">
        <x:v>S39</x:v>
      </x:c>
      <x:c r="B64" s="28" t="str">
        <x:v>School-leaver pathways</x:v>
      </x:c>
      <x:c r="C64" s="28" t="str">
        <x:v>Ministry of Education — Education Counts</x:v>
      </x:c>
      <x:c r="D64" s="28" t="str">
        <x:v>2021–2024 snapshots</x:v>
      </x:c>
      <x:c r="E64" s="32" t="str">
        <x:v>https://www.educationcounts.govt.nz/statistics/what-happens-to-school-leavers</x:v>
      </x:c>
      <x:c r="F64" s="28" t="str">
        <x:v>Official statistics</x:v>
      </x:c>
      <x:c r="G64" s="28" t="str">
        <x:v>Tertiary, vocational, employment and non-participation pathways</x:v>
      </x:c>
      <x:c r="H64" s="28" t="str">
        <x:v>High for population context</x:v>
      </x:c>
      <x:c r="I64" s="28" t="str">
        <x:v>Snapshot pathways do not establish programme attribution.</x:v>
      </x:c>
      <x:c r="J64" s="339"/>
      <x:c r="K64" s="339"/>
      <x:c r="L64" s="339"/>
      <x:c r="M64" s="339"/>
      <x:c r="N64" s="339"/>
      <x:c r="O64" s="339"/>
      <x:c r="P64" s="339"/>
      <x:c r="Q64" s="339"/>
      <x:c r="R64" s="339"/>
      <x:c r="S64" s="339"/>
      <x:c r="T64" s="339"/>
      <x:c r="U64" s="339"/>
      <x:c r="V64" s="339"/>
      <x:c r="W64" s="339"/>
      <x:c r="X64" s="339"/>
      <x:c r="Y64" s="339"/>
      <x:c r="Z64" s="339"/>
    </x:row>
    <x:row r="65">
      <x:c r="A65" s="30" t="str">
        <x:v>S40</x:v>
      </x:c>
      <x:c r="B65" s="28" t="str">
        <x:v>Tertiary achievement and attainment</x:v>
      </x:c>
      <x:c r="C65" s="28" t="str">
        <x:v>Ministry of Education — Education Counts</x:v>
      </x:c>
      <x:c r="D65" s="28" t="str">
        <x:v>2025</x:v>
      </x:c>
      <x:c r="E65" s="32" t="str">
        <x:v>https://www.educationcounts.govt.nz/statistics/achievement-and-attainment</x:v>
      </x:c>
      <x:c r="F65" s="28" t="str">
        <x:v>Official statistics</x:v>
      </x:c>
      <x:c r="G65" s="28" t="str">
        <x:v>Tertiary completion context</x:v>
      </x:c>
      <x:c r="H65" s="28" t="str">
        <x:v>High for published totals</x:v>
      </x:c>
      <x:c r="I65" s="28" t="str">
        <x:v>Completion-effect assumptions require target-cohort evidence.</x:v>
      </x:c>
      <x:c r="J65" s="339"/>
      <x:c r="K65" s="339"/>
      <x:c r="L65" s="339"/>
      <x:c r="M65" s="339"/>
      <x:c r="N65" s="339"/>
      <x:c r="O65" s="339"/>
      <x:c r="P65" s="339"/>
      <x:c r="Q65" s="339"/>
      <x:c r="R65" s="339"/>
      <x:c r="S65" s="339"/>
      <x:c r="T65" s="339"/>
      <x:c r="U65" s="339"/>
      <x:c r="V65" s="339"/>
      <x:c r="W65" s="339"/>
      <x:c r="X65" s="339"/>
      <x:c r="Y65" s="339"/>
      <x:c r="Z65" s="339"/>
    </x:row>
    <x:row r="66">
      <x:c r="A66" s="30" t="str">
        <x:v>S41</x:v>
      </x:c>
      <x:c r="B66" s="28" t="str">
        <x:v>National labour-force projections 2024(base)–2078</x:v>
      </x:c>
      <x:c r="C66" s="28" t="str">
        <x:v>Stats NZ</x:v>
      </x:c>
      <x:c r="D66" s="28" t="str">
        <x:v>June 2025</x:v>
      </x:c>
      <x:c r="E66" s="32" t="str">
        <x:v>https://www.stats.govt.nz/information-releases/national-labour-force-projections-2024base-2078/</x:v>
      </x:c>
      <x:c r="F66" s="28" t="str">
        <x:v>Official projections</x:v>
      </x:c>
      <x:c r="G66" s="28" t="str">
        <x:v>Hours worked, labour-force and ageing context</x:v>
      </x:c>
      <x:c r="H66" s="28" t="str">
        <x:v>High</x:v>
      </x:c>
      <x:c r="I66" s="28" t="str">
        <x:v>Projections are scenarios, not guarantees.</x:v>
      </x:c>
      <x:c r="J66" s="339"/>
      <x:c r="K66" s="339"/>
      <x:c r="L66" s="339"/>
      <x:c r="M66" s="339"/>
      <x:c r="N66" s="339"/>
      <x:c r="O66" s="339"/>
      <x:c r="P66" s="339"/>
      <x:c r="Q66" s="339"/>
      <x:c r="R66" s="339"/>
      <x:c r="S66" s="339"/>
      <x:c r="T66" s="339"/>
      <x:c r="U66" s="339"/>
      <x:c r="V66" s="339"/>
      <x:c r="W66" s="339"/>
      <x:c r="X66" s="339"/>
      <x:c r="Y66" s="339"/>
      <x:c r="Z66" s="339"/>
    </x:row>
    <x:row r="67">
      <x:c r="A67" s="30" t="str">
        <x:v>S42</x:v>
      </x:c>
      <x:c r="B67" s="28" t="str">
        <x:v>Tax rates for individuals</x:v>
      </x:c>
      <x:c r="C67" s="28" t="str">
        <x:v>Inland Revenue</x:v>
      </x:c>
      <x:c r="D67" s="28" t="str">
        <x:v>Current 2026</x:v>
      </x:c>
      <x:c r="E67" s="32" t="str">
        <x:v>https://www.ird.govt.nz/income-tax/income-tax-for-individuals/tax-codes-and-tax-rates-for-individuals/tax-rates-for-individuals</x:v>
      </x:c>
      <x:c r="F67" s="28" t="str">
        <x:v>Official tax guidance</x:v>
      </x:c>
      <x:c r="G67" s="28" t="str">
        <x:v>Incremental income-tax calculation</x:v>
      </x:c>
      <x:c r="H67" s="28" t="str">
        <x:v>High</x:v>
      </x:c>
      <x:c r="I67" s="28" t="str">
        <x:v>Tax settings must be refreshed at each valuation date.</x:v>
      </x:c>
      <x:c r="J67" s="339"/>
      <x:c r="K67" s="339"/>
      <x:c r="L67" s="339"/>
      <x:c r="M67" s="339"/>
      <x:c r="N67" s="339"/>
      <x:c r="O67" s="339"/>
      <x:c r="P67" s="339"/>
      <x:c r="Q67" s="339"/>
      <x:c r="R67" s="339"/>
      <x:c r="S67" s="339"/>
      <x:c r="T67" s="339"/>
      <x:c r="U67" s="339"/>
      <x:c r="V67" s="339"/>
      <x:c r="W67" s="339"/>
      <x:c r="X67" s="339"/>
      <x:c r="Y67" s="339"/>
      <x:c r="Z67" s="339"/>
    </x:row>
    <x:row r="68">
      <x:c r="A68" s="30" t="str">
        <x:v>S43</x:v>
      </x:c>
      <x:c r="B68" s="28" t="str">
        <x:v>ACC earners' levy rates</x:v>
      </x:c>
      <x:c r="C68" s="28" t="str">
        <x:v>Inland Revenue</x:v>
      </x:c>
      <x:c r="D68" s="28" t="str">
        <x:v>2026/27</x:v>
      </x:c>
      <x:c r="E68" s="32" t="str">
        <x:v>https://www.ird.govt.nz/income-tax/income-tax-for-individuals/acc-clients-and-carers/acc-earners-levy-rates</x:v>
      </x:c>
      <x:c r="F68" s="28" t="str">
        <x:v>Official levy guidance</x:v>
      </x:c>
      <x:c r="G68" s="28" t="str">
        <x:v>Incremental ACC revenue</x:v>
      </x:c>
      <x:c r="H68" s="28" t="str">
        <x:v>High</x:v>
      </x:c>
      <x:c r="I68" s="28" t="str">
        <x:v>2026/27 rate is 1.75% up to maximum liable earnings.</x:v>
      </x:c>
      <x:c r="J68" s="339"/>
      <x:c r="K68" s="339"/>
      <x:c r="L68" s="339"/>
      <x:c r="M68" s="339"/>
      <x:c r="N68" s="339"/>
      <x:c r="O68" s="339"/>
      <x:c r="P68" s="339"/>
      <x:c r="Q68" s="339"/>
      <x:c r="R68" s="339"/>
      <x:c r="S68" s="339"/>
      <x:c r="T68" s="339"/>
      <x:c r="U68" s="339"/>
      <x:c r="V68" s="339"/>
      <x:c r="W68" s="339"/>
      <x:c r="X68" s="339"/>
      <x:c r="Y68" s="339"/>
      <x:c r="Z68" s="339"/>
    </x:row>
    <x:row r="69">
      <x:c r="A69" s="30" t="str">
        <x:v>S44</x:v>
      </x:c>
      <x:c r="B69" s="28" t="str">
        <x:v>Recent trends in school leavers going overseas</x:v>
      </x:c>
      <x:c r="C69" s="28" t="str">
        <x:v>Ministry of Education — Education Counts</x:v>
      </x:c>
      <x:c r="D69" s="28" t="str">
        <x:v>2010–2024</x:v>
      </x:c>
      <x:c r="E69" s="32" t="str">
        <x:v>https://www.educationcounts.govt.nz/publications/tertiary_education/beyond-study/destinations/recent-trends-in-school-leavers-going-overseas</x:v>
      </x:c>
      <x:c r="F69" s="28" t="str">
        <x:v>Official linked-data analysis</x:v>
      </x:c>
      <x:c r="G69" s="28" t="str">
        <x:v>Domestic-retention sensitivity</x:v>
      </x:c>
      <x:c r="H69" s="28" t="str">
        <x:v>High for the first post-school year</x:v>
      </x:c>
      <x:c r="I69" s="28" t="str">
        <x:v>Long-run migration requires wider evidence.</x:v>
      </x:c>
      <x:c r="J69" s="339"/>
      <x:c r="K69" s="339"/>
      <x:c r="L69" s="339"/>
      <x:c r="M69" s="339"/>
      <x:c r="N69" s="339"/>
      <x:c r="O69" s="339"/>
      <x:c r="P69" s="339"/>
      <x:c r="Q69" s="339"/>
      <x:c r="R69" s="339"/>
      <x:c r="S69" s="339"/>
      <x:c r="T69" s="339"/>
      <x:c r="U69" s="339"/>
      <x:c r="V69" s="339"/>
      <x:c r="W69" s="339"/>
      <x:c r="X69" s="339"/>
      <x:c r="Y69" s="339"/>
      <x:c r="Z69" s="339"/>
    </x:row>
    <x:row r="70">
      <x:c r="A70" s="30" t="str">
        <x:v>S45</x:v>
      </x:c>
      <x:c r="B70" s="28" t="str">
        <x:v>Tertiary summary tables</x:v>
      </x:c>
      <x:c r="C70" s="28" t="str">
        <x:v>Ministry of Education — Education Counts</x:v>
      </x:c>
      <x:c r="D70" s="28" t="str">
        <x:v>2025</x:v>
      </x:c>
      <x:c r="E70" s="32" t="str">
        <x:v>https://www.educationcounts.govt.nz/statistics/summary_tables</x:v>
      </x:c>
      <x:c r="F70" s="28" t="str">
        <x:v>Official statistics</x:v>
      </x:c>
      <x:c r="G70" s="28" t="str">
        <x:v>Course, qualification, attrition and progression context</x:v>
      </x:c>
      <x:c r="H70" s="28" t="str">
        <x:v>High</x:v>
      </x:c>
      <x:c r="I70" s="28" t="str">
        <x:v>Use target-cohort completion rates when available.</x:v>
      </x:c>
      <x:c r="J70" s="339"/>
      <x:c r="K70" s="339"/>
      <x:c r="L70" s="339"/>
      <x:c r="M70" s="339"/>
      <x:c r="N70" s="339"/>
      <x:c r="O70" s="339"/>
      <x:c r="P70" s="339"/>
      <x:c r="Q70" s="339"/>
      <x:c r="R70" s="339"/>
      <x:c r="S70" s="339"/>
      <x:c r="T70" s="339"/>
      <x:c r="U70" s="339"/>
      <x:c r="V70" s="339"/>
      <x:c r="W70" s="339"/>
      <x:c r="X70" s="339"/>
      <x:c r="Y70" s="339"/>
      <x:c r="Z70" s="339"/>
    </x:row>
    <x:row r="71">
      <x:c r="A71" s="30" t="str">
        <x:v>S46</x:v>
      </x:c>
      <x:c r="B71" s="28" t="str">
        <x:v>Monitoring Gateway and Trades Academies 2025</x:v>
      </x:c>
      <x:c r="C71" s="28" t="str">
        <x:v>Ministry of Education — Education Counts</x:v>
      </x:c>
      <x:c r="D71" s="28" t="str">
        <x:v>2025</x:v>
      </x:c>
      <x:c r="E71" s="32" t="str">
        <x:v>https://www.educationcounts.govt.nz/publications/80898/monitoring-gateway-and-trades-academies-2025</x:v>
      </x:c>
      <x:c r="F71" s="28" t="str">
        <x:v>Official monitoring report</x:v>
      </x:c>
      <x:c r="G71" s="28" t="str">
        <x:v>Vocational comparator and transition evidence</x:v>
      </x:c>
      <x:c r="H71" s="28" t="str">
        <x:v>Medium-High</x:v>
      </x:c>
      <x:c r="I71" s="28" t="str">
        <x:v>Comparator programmes differ from He Ara Angitū.</x:v>
      </x:c>
      <x:c r="J71" s="339"/>
      <x:c r="K71" s="339"/>
      <x:c r="L71" s="339"/>
      <x:c r="M71" s="339"/>
      <x:c r="N71" s="339"/>
      <x:c r="O71" s="339"/>
      <x:c r="P71" s="339"/>
      <x:c r="Q71" s="339"/>
      <x:c r="R71" s="339"/>
      <x:c r="S71" s="339"/>
      <x:c r="T71" s="339"/>
      <x:c r="U71" s="339"/>
      <x:c r="V71" s="339"/>
      <x:c r="W71" s="339"/>
      <x:c r="X71" s="339"/>
      <x:c r="Y71" s="339"/>
      <x:c r="Z71" s="339"/>
    </x:row>
    <x:row r="72">
      <x:c r="A72" s="30" t="str">
        <x:v>S47</x:v>
      </x:c>
      <x:c r="B72" s="28" t="str">
        <x:v>Labour-market statistics — March 2025 quarter</x:v>
      </x:c>
      <x:c r="C72" s="28" t="str">
        <x:v>Stats NZ</x:v>
      </x:c>
      <x:c r="D72" s="28" t="str">
        <x:v>May 2025</x:v>
      </x:c>
      <x:c r="E72" s="32" t="str">
        <x:v>https://www.stats.govt.nz/information-releases/labour-market-statistics-march-2025-quarter/</x:v>
      </x:c>
      <x:c r="F72" s="28" t="str">
        <x:v>Official labour statistics</x:v>
      </x:c>
      <x:c r="G72" s="28" t="str">
        <x:v>38.25 average ordinary paid hours for FTEs</x:v>
      </x:c>
      <x:c r="H72" s="28" t="str">
        <x:v>High</x:v>
      </x:c>
      <x:c r="I72" s="28" t="str">
        <x:v>QES coverage differs from the household survey.</x:v>
      </x:c>
      <x:c r="J72" s="339"/>
      <x:c r="K72" s="339"/>
      <x:c r="L72" s="339"/>
      <x:c r="M72" s="339"/>
      <x:c r="N72" s="339"/>
      <x:c r="O72" s="339"/>
      <x:c r="P72" s="339"/>
      <x:c r="Q72" s="339"/>
      <x:c r="R72" s="339"/>
      <x:c r="S72" s="339"/>
      <x:c r="T72" s="339"/>
      <x:c r="U72" s="339"/>
      <x:c r="V72" s="339"/>
      <x:c r="W72" s="339"/>
      <x:c r="X72" s="339"/>
      <x:c r="Y72" s="339"/>
      <x:c r="Z72" s="339"/>
    </x:row>
    <x:row r="73">
      <x:c r="A73" s="893" t="str">
        <x:v>A18</x:v>
      </x:c>
      <x:c r="B73" s="894" t="str">
        <x:v>Whole-cohort earnings and pathway effect assumptions</x:v>
      </x:c>
      <x:c r="C73" s="894" t="str">
        <x:v>Model assumption</x:v>
      </x:c>
      <x:c r="D73" s="894" t="str">
        <x:v>July 2026</x:v>
      </x:c>
      <x:c r="E73" s="882" t="str">
        <x:v>Pilot causal evidence and linked-data baseline required</x:v>
      </x:c>
      <x:c r="F73" s="894" t="str">
        <x:v>Scenario assumption</x:v>
      </x:c>
      <x:c r="G73" s="894" t="str">
        <x:v>Affected share, attribution, persistence, deadweight, displacement and fade-out</x:v>
      </x:c>
      <x:c r="H73" s="894" t="str">
        <x:v>Low</x:v>
      </x:c>
      <x:c r="I73" s="894" t="str">
        <x:v>No whole-cohort programme effect is asserted.</x:v>
      </x:c>
      <x:c r="J73" s="339"/>
      <x:c r="K73" s="339"/>
      <x:c r="L73" s="339"/>
      <x:c r="M73" s="339"/>
      <x:c r="N73" s="339"/>
      <x:c r="O73" s="339"/>
      <x:c r="P73" s="339"/>
      <x:c r="Q73" s="339"/>
      <x:c r="R73" s="339"/>
      <x:c r="S73" s="339"/>
      <x:c r="T73" s="339"/>
      <x:c r="U73" s="339"/>
      <x:c r="V73" s="339"/>
      <x:c r="W73" s="339"/>
      <x:c r="X73" s="339"/>
      <x:c r="Y73" s="339"/>
      <x:c r="Z73" s="339"/>
    </x:row>
    <x:row r="74">
      <x:c r="A74" s="893" t="str">
        <x:v>A19</x:v>
      </x:c>
      <x:c r="B74" s="894" t="str">
        <x:v>Labour-market and general-equilibrium haircut</x:v>
      </x:c>
      <x:c r="C74" s="894" t="str">
        <x:v>Model assumption</x:v>
      </x:c>
      <x:c r="D74" s="894" t="str">
        <x:v>July 2026</x:v>
      </x:c>
      <x:c r="E74" s="882" t="str">
        <x:v>Independent labour-market forecasting required</x:v>
      </x:c>
      <x:c r="F74" s="894" t="str">
        <x:v>Scenario assumption</x:v>
      </x:c>
      <x:c r="G74" s="894" t="str">
        <x:v>Oversupply, wage suppression, substitution, automation, regional mismatch and provider capacity</x:v>
      </x:c>
      <x:c r="H74" s="894" t="str">
        <x:v>Low</x:v>
      </x:c>
      <x:c r="I74" s="894" t="str">
        <x:v>Do not assume more qualifications automatically raise productivity.</x:v>
      </x:c>
      <x:c r="J74" s="339"/>
      <x:c r="K74" s="339"/>
      <x:c r="L74" s="339"/>
      <x:c r="M74" s="339"/>
      <x:c r="N74" s="339"/>
      <x:c r="O74" s="339"/>
      <x:c r="P74" s="339"/>
      <x:c r="Q74" s="339"/>
      <x:c r="R74" s="339"/>
      <x:c r="S74" s="339"/>
      <x:c r="T74" s="339"/>
      <x:c r="U74" s="339"/>
      <x:c r="V74" s="339"/>
      <x:c r="W74" s="339"/>
      <x:c r="X74" s="339"/>
      <x:c r="Y74" s="339"/>
      <x:c r="Z74" s="339"/>
    </x:row>
    <x:row r="75">
      <x:c r="A75" s="893" t="str">
        <x:v>A20</x:v>
      </x:c>
      <x:c r="B75" s="894" t="str">
        <x:v>Universal core and targeted accelerator design</x:v>
      </x:c>
      <x:c r="C75" s="894" t="str">
        <x:v>Model assumption</x:v>
      </x:c>
      <x:c r="D75" s="894" t="str">
        <x:v>July 2026</x:v>
      </x:c>
      <x:c r="E75" s="882" t="str">
        <x:v>Stage 0 service design and cost evidence required</x:v>
      </x:c>
      <x:c r="F75" s="894" t="str">
        <x:v>Scenario assumption</x:v>
      </x:c>
      <x:c r="G75" s="894" t="str">
        <x:v>Separate intensity, cost and impact by participant group</x:v>
      </x:c>
      <x:c r="H75" s="894" t="str">
        <x:v>Low</x:v>
      </x:c>
      <x:c r="I75" s="894" t="str">
        <x:v>The scenario is for break-even testing, not a funding estimate.</x:v>
      </x:c>
      <x:c r="J75" s="339"/>
      <x:c r="K75" s="339"/>
      <x:c r="L75" s="339"/>
      <x:c r="M75" s="339"/>
      <x:c r="N75" s="339"/>
      <x:c r="O75" s="339"/>
      <x:c r="P75" s="339"/>
      <x:c r="Q75" s="339"/>
      <x:c r="R75" s="339"/>
      <x:c r="S75" s="339"/>
      <x:c r="T75" s="339"/>
      <x:c r="U75" s="339"/>
      <x:c r="V75" s="339"/>
      <x:c r="W75" s="339"/>
      <x:c r="X75" s="339"/>
      <x:c r="Y75" s="339"/>
      <x:c r="Z75" s="339"/>
    </x:row>
    <x:row r="76">
      <x:c r="A76" s="893" t="str">
        <x:v>A21</x:v>
      </x:c>
      <x:c r="B76" s="894" t="str">
        <x:v>Pooled industry and partner co-investment</x:v>
      </x:c>
      <x:c r="C76" s="894" t="str">
        <x:v>Model requirement</x:v>
      </x:c>
      <x:c r="D76" s="894" t="str">
        <x:v>July 2026</x:v>
      </x:c>
      <x:c r="E76" s="882" t="str">
        <x:v>Signed commitments and governance agreements required</x:v>
      </x:c>
      <x:c r="F76" s="894" t="str">
        <x:v>Validation requirement</x:v>
      </x:c>
      <x:c r="G76" s="894" t="str">
        <x:v>Employer, sector, iwi, philanthropic and provider contributions</x:v>
      </x:c>
      <x:c r="H76" s="894" t="str">
        <x:v>Low until committed</x:v>
      </x:c>
      <x:c r="I76" s="894" t="str">
        <x:v>Central financial results include zero uncommitted funding.</x:v>
      </x:c>
      <x:c r="J76" s="339"/>
      <x:c r="K76" s="339"/>
      <x:c r="L76" s="339"/>
      <x:c r="M76" s="339"/>
      <x:c r="N76" s="339"/>
      <x:c r="O76" s="339"/>
      <x:c r="P76" s="339"/>
      <x:c r="Q76" s="339"/>
      <x:c r="R76" s="339"/>
      <x:c r="S76" s="339"/>
      <x:c r="T76" s="339"/>
      <x:c r="U76" s="339"/>
      <x:c r="V76" s="339"/>
      <x:c r="W76" s="339"/>
      <x:c r="X76" s="339"/>
      <x:c r="Y76" s="339"/>
      <x:c r="Z76" s="339"/>
    </x:row>
    <x:row r="77">
      <x:c r="A77" s="893" t="str">
        <x:v>A22</x:v>
      </x:c>
      <x:c r="B77" s="894" t="str">
        <x:v>Stage-gate economic thresholds</x:v>
      </x:c>
      <x:c r="C77" s="894" t="str">
        <x:v>Model assumption</x:v>
      </x:c>
      <x:c r="D77" s="894" t="str">
        <x:v>July 2026</x:v>
      </x:c>
      <x:c r="E77" s="882" t="str">
        <x:v>Treasury, evaluator, school and governance agreement required</x:v>
      </x:c>
      <x:c r="F77" s="894" t="str">
        <x:v>Decision assumption</x:v>
      </x:c>
      <x:c r="G77" s="894" t="str">
        <x:v>Cost per outcome, BCR, fiscal coverage, equity, workload and gaming</x:v>
      </x:c>
      <x:c r="H77" s="894" t="str">
        <x:v>Low</x:v>
      </x:c>
      <x:c r="I77" s="894" t="str">
        <x:v>Thresholds are explicit provisional tests, not evidence of performance.</x:v>
      </x:c>
      <x:c r="J77" s="339"/>
      <x:c r="K77" s="339"/>
      <x:c r="L77" s="339"/>
      <x:c r="M77" s="339"/>
      <x:c r="N77" s="339"/>
      <x:c r="O77" s="339"/>
      <x:c r="P77" s="339"/>
      <x:c r="Q77" s="339"/>
      <x:c r="R77" s="339"/>
      <x:c r="S77" s="339"/>
      <x:c r="T77" s="339"/>
      <x:c r="U77" s="339"/>
      <x:c r="V77" s="339"/>
      <x:c r="W77" s="339"/>
      <x:c r="X77" s="339"/>
      <x:c r="Y77" s="339"/>
      <x:c r="Z77" s="339"/>
    </x:row>
    <x:row r="78">
      <x:c r="A78" s="339" t="str">
        <x:v>A22</x:v>
      </x:c>
      <x:c r="B78" s="339" t="str">
        <x:v>Stage-gate economic thresholds</x:v>
      </x:c>
      <x:c r="C78" s="339" t="str">
        <x:v>Model assumption</x:v>
      </x:c>
      <x:c r="D78" s="339" t="str">
        <x:v>July 2026</x:v>
      </x:c>
      <x:c r="E78" s="339" t="str">
        <x:v>Treasury, evaluator, school and governance agreement required</x:v>
      </x:c>
      <x:c r="F78" s="339" t="str">
        <x:v>Decision assumption</x:v>
      </x:c>
      <x:c r="G78" s="339" t="str">
        <x:v>Cost per outcome, BCR, fiscal coverage, equity, workload and gaming</x:v>
      </x:c>
      <x:c r="H78" s="339" t="str">
        <x:v>Low</x:v>
      </x:c>
      <x:c r="I78" s="339" t="str">
        <x:v>Thresholds are explicit provisional tests, not evidence of performance.</x:v>
      </x:c>
      <x:c r="J78" s="339"/>
      <x:c r="K78" s="339"/>
      <x:c r="L78" s="339"/>
      <x:c r="M78" s="339"/>
      <x:c r="N78" s="339"/>
      <x:c r="O78" s="339"/>
      <x:c r="P78" s="339"/>
      <x:c r="Q78" s="339"/>
      <x:c r="R78" s="339"/>
      <x:c r="S78" s="339"/>
      <x:c r="T78" s="339"/>
      <x:c r="U78" s="339"/>
      <x:c r="V78" s="339"/>
      <x:c r="W78" s="339"/>
      <x:c r="X78" s="339"/>
      <x:c r="Y78" s="339"/>
      <x:c r="Z78" s="339"/>
    </x:row>
    <x:row r="79">
      <x:c r="A79" s="339" t="str">
        <x:v>A22</x:v>
      </x:c>
      <x:c r="B79" s="339" t="str">
        <x:v>Stage-gate economic thresholds</x:v>
      </x:c>
      <x:c r="C79" s="339" t="str">
        <x:v>Model assumption</x:v>
      </x:c>
      <x:c r="D79" s="339" t="str">
        <x:v>July 2026</x:v>
      </x:c>
      <x:c r="E79" s="339" t="str">
        <x:v>Treasury, evaluator, school and governance agreement required</x:v>
      </x:c>
      <x:c r="F79" s="339" t="str">
        <x:v>Decision assumption</x:v>
      </x:c>
      <x:c r="G79" s="339" t="str">
        <x:v>Cost per outcome, BCR, fiscal coverage, equity, workload and gaming</x:v>
      </x:c>
      <x:c r="H79" s="339" t="str">
        <x:v>Low</x:v>
      </x:c>
      <x:c r="I79" s="339" t="str">
        <x:v>Thresholds are explicit provisional tests, not evidence of performance.</x:v>
      </x:c>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I1"/>
    <x:mergeCell ref="A2:I2"/>
  </x:mergeCells>
  <x:pageMargins left="0.7" right="0.7" top="0.75" bottom="0.75" header="0.3" footer="0.3"/>
</x:worksheet>
</file>

<file path=xl/worksheets/sheet8.xml><?xml version="1.0" encoding="utf-8"?>
<x:worksheet xmlns:x="http://schemas.openxmlformats.org/spreadsheetml/2006/main">
  <x:sheetFormatPr defaultRowHeight="15"/>
  <x:cols>
    <x:col min="1" max="1" width="20" hidden="0" customWidth="1"/>
    <x:col min="2" max="2" width="48" hidden="0" customWidth="1"/>
    <x:col min="3" max="3" width="24" hidden="0" customWidth="1"/>
    <x:col min="4" max="4" width="15" hidden="0" customWidth="1"/>
    <x:col min="5" max="5" width="15" hidden="0" customWidth="1"/>
    <x:col min="6" max="6" width="15" hidden="0" customWidth="1"/>
    <x:col min="7" max="7" width="16" hidden="0" customWidth="1"/>
    <x:col min="8" max="8" width="25" hidden="0" customWidth="1"/>
    <x:col min="9" max="9" width="58" hidden="0" customWidth="1"/>
  </x:cols>
  <x:sheetData>
    <x:row r="1" ht="30" customHeight="1">
      <x:c r="A1" s="338" t="str">
        <x:v>Assumptions and Scenario Controls</x:v>
      </x:c>
      <x:c r="B1" s="338" t="str">
        <x:v>Assumptions and Scenario Controls</x:v>
      </x:c>
      <x:c r="C1" s="338" t="str">
        <x:v>Assumptions and Scenario Controls</x:v>
      </x:c>
      <x:c r="D1" s="338" t="str">
        <x:v>Assumptions and Scenario Controls</x:v>
      </x:c>
      <x:c r="E1" s="338" t="str">
        <x:v>Assumptions and Scenario Controls</x:v>
      </x:c>
      <x:c r="F1" s="338" t="str">
        <x:v>Assumptions and Scenario Controls</x:v>
      </x:c>
      <x:c r="G1" s="338" t="str">
        <x:v>Assumptions and Scenario Controls</x:v>
      </x:c>
      <x:c r="H1" s="338" t="str">
        <x:v>Assumptions and Scenario Controls</x:v>
      </x:c>
      <x:c r="I1" s="338" t="str">
        <x:v>Assumptions and Scenario Controls</x:v>
      </x:c>
      <x:c r="J1" s="339"/>
      <x:c r="K1" s="339"/>
      <x:c r="L1" s="339"/>
      <x:c r="M1" s="339"/>
      <x:c r="N1" s="339"/>
      <x:c r="O1" s="339"/>
      <x:c r="P1" s="339"/>
      <x:c r="Q1" s="339"/>
      <x:c r="R1" s="339"/>
      <x:c r="S1" s="339"/>
      <x:c r="T1" s="339"/>
      <x:c r="U1" s="339"/>
      <x:c r="V1" s="339"/>
      <x:c r="W1" s="339"/>
      <x:c r="X1" s="339"/>
      <x:c r="Y1" s="339"/>
      <x:c r="Z1" s="339"/>
    </x:row>
    <x:row r="2" ht="28" customHeight="1">
      <x:c r="A2" s="340" t="str">
        <x:v>Blue figures are editable inputs. Yellow cells are material assumptions that require verification before the proposal can claim a funding-ready cost.</x:v>
      </x:c>
      <x:c r="B2" s="340" t="str">
        <x:v>Blue figures are editable inputs. Yellow cells are material assumptions that require verification before the proposal can claim a funding-ready cost.</x:v>
      </x:c>
      <x:c r="C2" s="340" t="str">
        <x:v>Blue figures are editable inputs. Yellow cells are material assumptions that require verification before the proposal can claim a funding-ready cost.</x:v>
      </x:c>
      <x:c r="D2" s="340" t="str">
        <x:v>Blue figures are editable inputs. Yellow cells are material assumptions that require verification before the proposal can claim a funding-ready cost.</x:v>
      </x:c>
      <x:c r="E2" s="340" t="str">
        <x:v>Blue figures are editable inputs. Yellow cells are material assumptions that require verification before the proposal can claim a funding-ready cost.</x:v>
      </x:c>
      <x:c r="F2" s="340" t="str">
        <x:v>Blue figures are editable inputs. Yellow cells are material assumptions that require verification before the proposal can claim a funding-ready cost.</x:v>
      </x:c>
      <x:c r="G2" s="340" t="str">
        <x:v>Blue figures are editable inputs. Yellow cells are material assumptions that require verification before the proposal can claim a funding-ready cost.</x:v>
      </x:c>
      <x:c r="H2" s="340" t="str">
        <x:v>Blue figures are editable inputs. Yellow cells are material assumptions that require verification before the proposal can claim a funding-ready cost.</x:v>
      </x:c>
      <x:c r="I2" s="340" t="str">
        <x:v>Blue figures are editable inputs. Yellow cells are material assumptions that require verification before the proposal can claim a funding-ready cost.</x:v>
      </x:c>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343" t="str">
        <x:v>Section</x:v>
      </x:c>
      <x:c r="B4" s="343" t="str">
        <x:v>Assumption</x:v>
      </x:c>
      <x:c r="C4" s="343" t="str">
        <x:v>Unit</x:v>
      </x:c>
      <x:c r="D4" s="343" t="str">
        <x:v>Low</x:v>
      </x:c>
      <x:c r="E4" s="343" t="str">
        <x:v>Central</x:v>
      </x:c>
      <x:c r="F4" s="343" t="str">
        <x:v>High</x:v>
      </x:c>
      <x:c r="G4" s="343" t="str">
        <x:v>Source ID</x:v>
      </x:c>
      <x:c r="H4" s="343" t="str">
        <x:v>Evidence status</x:v>
      </x:c>
      <x:c r="I4" s="343" t="str">
        <x:v>Notes</x:v>
      </x:c>
      <x:c r="J4" s="339"/>
      <x:c r="K4" s="339"/>
      <x:c r="L4" s="339"/>
      <x:c r="M4" s="339"/>
      <x:c r="N4" s="339"/>
      <x:c r="O4" s="339"/>
      <x:c r="P4" s="339"/>
      <x:c r="Q4" s="339"/>
      <x:c r="R4" s="339"/>
      <x:c r="S4" s="339"/>
      <x:c r="T4" s="339"/>
      <x:c r="U4" s="339"/>
      <x:c r="V4" s="339"/>
      <x:c r="W4" s="339"/>
      <x:c r="X4" s="339"/>
      <x:c r="Y4" s="339"/>
      <x:c r="Z4" s="339"/>
    </x:row>
    <x:row r="5">
      <x:c r="A5" s="62" t="str">
        <x:v>General</x:v>
      </x:c>
      <x:c r="B5" s="62" t="str">
        <x:v>Model base year</x:v>
      </x:c>
      <x:c r="C5" s="58" t="str">
        <x:v>year</x:v>
      </x:c>
      <x:c r="D5" s="59" t="n">
        <x:v>2026</x:v>
      </x:c>
      <x:c r="E5" s="59" t="n">
        <x:v>2026</x:v>
      </x:c>
      <x:c r="F5" s="59" t="n">
        <x:v>2026</x:v>
      </x:c>
      <x:c r="G5" s="58" t="str"/>
      <x:c r="H5" s="58" t="str">
        <x:v>Fixed</x:v>
      </x:c>
      <x:c r="I5" s="58" t="str">
        <x:v>Current planning year.</x:v>
      </x:c>
      <x:c r="J5" s="339"/>
      <x:c r="K5" s="339"/>
      <x:c r="L5" s="339"/>
      <x:c r="M5" s="339"/>
      <x:c r="N5" s="339"/>
      <x:c r="O5" s="339"/>
      <x:c r="P5" s="339"/>
      <x:c r="Q5" s="339"/>
      <x:c r="R5" s="339"/>
      <x:c r="S5" s="339"/>
      <x:c r="T5" s="339"/>
      <x:c r="U5" s="339"/>
      <x:c r="V5" s="339"/>
      <x:c r="W5" s="339"/>
      <x:c r="X5" s="339"/>
      <x:c r="Y5" s="339"/>
      <x:c r="Z5" s="339"/>
    </x:row>
    <x:row r="6">
      <x:c r="A6" s="28" t="str">
        <x:v>General</x:v>
      </x:c>
      <x:c r="B6" s="28" t="str">
        <x:v>2012 to 2026 CPI uplift factor</x:v>
      </x:c>
      <x:c r="C6" s="28" t="str">
        <x:v>x</x:v>
      </x:c>
      <x:c r="D6" s="476" t="n">
        <x:v>1.4042999475616151</x:v>
      </x:c>
      <x:c r="E6" s="476" t="n">
        <x:v>1.4042999475616151</x:v>
      </x:c>
      <x:c r="F6" s="476" t="n">
        <x:v>1.4042999475616151</x:v>
      </x:c>
      <x:c r="G6" s="28" t="str">
        <x:v>S03</x:v>
      </x:c>
      <x:c r="H6" s="28" t="str">
        <x:v>Verify at finalisation</x:v>
      </x:c>
      <x:c r="I6" s="28" t="str">
        <x:v>Planning uplift to March 2026: Stats NZ all-groups CPI 1339 ÷ 953.5 (December 2012) = 1.4043. Refresh at the valuation date.</x:v>
      </x:c>
      <x:c r="J6" s="339"/>
      <x:c r="K6" s="339"/>
      <x:c r="L6" s="339"/>
      <x:c r="M6" s="339"/>
      <x:c r="N6" s="339"/>
      <x:c r="O6" s="339"/>
      <x:c r="P6" s="339"/>
      <x:c r="Q6" s="339"/>
      <x:c r="R6" s="339"/>
      <x:c r="S6" s="339"/>
      <x:c r="T6" s="339"/>
      <x:c r="U6" s="339"/>
      <x:c r="V6" s="339"/>
      <x:c r="W6" s="339"/>
      <x:c r="X6" s="339"/>
      <x:c r="Y6" s="339"/>
      <x:c r="Z6" s="339"/>
    </x:row>
    <x:row r="7">
      <x:c r="A7" s="28" t="str">
        <x:v>General</x:v>
      </x:c>
      <x:c r="B7" s="28" t="str">
        <x:v>Salary on-cost / employment load</x:v>
      </x:c>
      <x:c r="C7" s="28" t="str">
        <x:v>% of base</x:v>
      </x:c>
      <x:c r="D7" s="46" t="n">
        <x:v>0.15</x:v>
      </x:c>
      <x:c r="E7" s="46" t="n">
        <x:v>0.2</x:v>
      </x:c>
      <x:c r="F7" s="46" t="n">
        <x:v>0.25</x:v>
      </x:c>
      <x:c r="G7" s="28" t="str">
        <x:v>S09</x:v>
      </x:c>
      <x:c r="H7" s="28" t="str">
        <x:v>Model assumption</x:v>
      </x:c>
      <x:c r="I7" s="28" t="str">
        <x:v>Covers employer KiwiSaver, ACC, leave, recruitment, training and employment overhead; avoid double-counting where a loaded rate is used.</x:v>
      </x:c>
      <x:c r="J7" s="339"/>
      <x:c r="K7" s="339"/>
      <x:c r="L7" s="339"/>
      <x:c r="M7" s="339"/>
      <x:c r="N7" s="339"/>
      <x:c r="O7" s="339"/>
      <x:c r="P7" s="339"/>
      <x:c r="Q7" s="339"/>
      <x:c r="R7" s="339"/>
      <x:c r="S7" s="339"/>
      <x:c r="T7" s="339"/>
      <x:c r="U7" s="339"/>
      <x:c r="V7" s="339"/>
      <x:c r="W7" s="339"/>
      <x:c r="X7" s="339"/>
      <x:c r="Y7" s="339"/>
      <x:c r="Z7" s="339"/>
    </x:row>
    <x:row r="8">
      <x:c r="A8" s="28" t="str">
        <x:v>General</x:v>
      </x:c>
      <x:c r="B8" s="28" t="str">
        <x:v>Annual cost escalation</x:v>
      </x:c>
      <x:c r="C8" s="28" t="str">
        <x:v>%</x:v>
      </x:c>
      <x:c r="D8" s="46" t="n">
        <x:v>0.02</x:v>
      </x:c>
      <x:c r="E8" s="46" t="n">
        <x:v>0.025</x:v>
      </x:c>
      <x:c r="F8" s="46" t="n">
        <x:v>0.04</x:v>
      </x:c>
      <x:c r="G8" s="28" t="str">
        <x:v>S06</x:v>
      </x:c>
      <x:c r="H8" s="28" t="str">
        <x:v>Scenario assumption</x:v>
      </x:c>
      <x:c r="I8" s="28" t="str">
        <x:v>Nominal planning escalation; a final business case should separate real growth from inflation.</x:v>
      </x:c>
      <x:c r="J8" s="339"/>
      <x:c r="K8" s="339"/>
      <x:c r="L8" s="339"/>
      <x:c r="M8" s="339"/>
      <x:c r="N8" s="339"/>
      <x:c r="O8" s="339"/>
      <x:c r="P8" s="339"/>
      <x:c r="Q8" s="339"/>
      <x:c r="R8" s="339"/>
      <x:c r="S8" s="339"/>
      <x:c r="T8" s="339"/>
      <x:c r="U8" s="339"/>
      <x:c r="V8" s="339"/>
      <x:c r="W8" s="339"/>
      <x:c r="X8" s="339"/>
      <x:c r="Y8" s="339"/>
      <x:c r="Z8" s="339"/>
    </x:row>
    <x:row r="9">
      <x:c r="A9" s="28" t="str">
        <x:v>General</x:v>
      </x:c>
      <x:c r="B9" s="28" t="str">
        <x:v>Stage 0 unit-cost multiplier</x:v>
      </x:c>
      <x:c r="C9" s="28" t="str">
        <x:v>x</x:v>
      </x:c>
      <x:c r="D9" s="44" t="n">
        <x:v>0.8</x:v>
      </x:c>
      <x:c r="E9" s="44" t="n">
        <x:v>1</x:v>
      </x:c>
      <x:c r="F9" s="44" t="n">
        <x:v>1.3</x:v>
      </x:c>
      <x:c r="G9" s="28" t="str">
        <x:v>A01</x:v>
      </x:c>
      <x:c r="H9" s="28" t="str">
        <x:v>Scenario assumption</x:v>
      </x:c>
      <x:c r="I9" s="28" t="str">
        <x:v>Applied to central line-item unit costs.</x:v>
      </x:c>
      <x:c r="J9" s="339"/>
      <x:c r="K9" s="339"/>
      <x:c r="L9" s="339"/>
      <x:c r="M9" s="339"/>
      <x:c r="N9" s="339"/>
      <x:c r="O9" s="339"/>
      <x:c r="P9" s="339"/>
      <x:c r="Q9" s="339"/>
      <x:c r="R9" s="339"/>
      <x:c r="S9" s="339"/>
      <x:c r="T9" s="339"/>
      <x:c r="U9" s="339"/>
      <x:c r="V9" s="339"/>
      <x:c r="W9" s="339"/>
      <x:c r="X9" s="339"/>
      <x:c r="Y9" s="339"/>
      <x:c r="Z9" s="339"/>
    </x:row>
    <x:row r="10">
      <x:c r="A10" s="28" t="str">
        <x:v>General</x:v>
      </x:c>
      <x:c r="B10" s="28" t="str">
        <x:v>Stage 0 contingency</x:v>
      </x:c>
      <x:c r="C10" s="28" t="str">
        <x:v>%</x:v>
      </x:c>
      <x:c r="D10" s="46" t="n">
        <x:v>0.1</x:v>
      </x:c>
      <x:c r="E10" s="46" t="n">
        <x:v>0.125</x:v>
      </x:c>
      <x:c r="F10" s="46" t="n">
        <x:v>0.2</x:v>
      </x:c>
      <x:c r="G10" s="28" t="str">
        <x:v>S07</x:v>
      </x:c>
      <x:c r="H10" s="28" t="str">
        <x:v>Planning allowance</x:v>
      </x:c>
      <x:c r="I10" s="28" t="str">
        <x:v>Contingency is not a substitute for quantified risk analysis.</x:v>
      </x:c>
      <x:c r="J10" s="339"/>
      <x:c r="K10" s="339"/>
      <x:c r="L10" s="339"/>
      <x:c r="M10" s="339"/>
      <x:c r="N10" s="339"/>
      <x:c r="O10" s="339"/>
      <x:c r="P10" s="339"/>
      <x:c r="Q10" s="339"/>
      <x:c r="R10" s="339"/>
      <x:c r="S10" s="339"/>
      <x:c r="T10" s="339"/>
      <x:c r="U10" s="339"/>
      <x:c r="V10" s="339"/>
      <x:c r="W10" s="339"/>
      <x:c r="X10" s="339"/>
      <x:c r="Y10" s="339"/>
      <x:c r="Z10" s="339"/>
    </x:row>
    <x:row r="11">
      <x:c r="A11" s="28" t="str">
        <x:v>General</x:v>
      </x:c>
      <x:c r="B11" s="28" t="str">
        <x:v>Pilot non-stipend cost multiplier</x:v>
      </x:c>
      <x:c r="C11" s="28" t="str">
        <x:v>x</x:v>
      </x:c>
      <x:c r="D11" s="44" t="n">
        <x:v>0.85</x:v>
      </x:c>
      <x:c r="E11" s="44" t="n">
        <x:v>1</x:v>
      </x:c>
      <x:c r="F11" s="44" t="n">
        <x:v>1.25</x:v>
      </x:c>
      <x:c r="G11" s="28" t="str">
        <x:v>A01</x:v>
      </x:c>
      <x:c r="H11" s="28" t="str">
        <x:v>Scenario assumption</x:v>
      </x:c>
      <x:c r="I11" s="28" t="str">
        <x:v>Scope held constant; reflects delivery and procurement uncertainty.</x:v>
      </x:c>
      <x:c r="J11" s="339"/>
      <x:c r="K11" s="339"/>
      <x:c r="L11" s="339"/>
      <x:c r="M11" s="339"/>
      <x:c r="N11" s="339"/>
      <x:c r="O11" s="339"/>
      <x:c r="P11" s="339"/>
      <x:c r="Q11" s="339"/>
      <x:c r="R11" s="339"/>
      <x:c r="S11" s="339"/>
      <x:c r="T11" s="339"/>
      <x:c r="U11" s="339"/>
      <x:c r="V11" s="339"/>
      <x:c r="W11" s="339"/>
      <x:c r="X11" s="339"/>
      <x:c r="Y11" s="339"/>
      <x:c r="Z11" s="339"/>
    </x:row>
    <x:row r="12">
      <x:c r="A12" s="28" t="str">
        <x:v>General</x:v>
      </x:c>
      <x:c r="B12" s="28" t="str">
        <x:v>Pilot contingency on non-stipend costs</x:v>
      </x:c>
      <x:c r="C12" s="28" t="str">
        <x:v>%</x:v>
      </x:c>
      <x:c r="D12" s="46" t="n">
        <x:v>0.1</x:v>
      </x:c>
      <x:c r="E12" s="46" t="n">
        <x:v>0.125</x:v>
      </x:c>
      <x:c r="F12" s="46" t="n">
        <x:v>0.2</x:v>
      </x:c>
      <x:c r="G12" s="28" t="str">
        <x:v>S07</x:v>
      </x:c>
      <x:c r="H12" s="28" t="str">
        <x:v>Planning allowance</x:v>
      </x:c>
      <x:c r="I12" s="28" t="str">
        <x:v>Participant payments are modelled through utilisation rather than contingency.</x:v>
      </x:c>
      <x:c r="J12" s="339"/>
      <x:c r="K12" s="339"/>
      <x:c r="L12" s="339"/>
      <x:c r="M12" s="339"/>
      <x:c r="N12" s="339"/>
      <x:c r="O12" s="339"/>
      <x:c r="P12" s="339"/>
      <x:c r="Q12" s="339"/>
      <x:c r="R12" s="339"/>
      <x:c r="S12" s="339"/>
      <x:c r="T12" s="339"/>
      <x:c r="U12" s="339"/>
      <x:c r="V12" s="339"/>
      <x:c r="W12" s="339"/>
      <x:c r="X12" s="339"/>
      <x:c r="Y12" s="339"/>
      <x:c r="Z12" s="339"/>
    </x:row>
    <x:row r="13">
      <x:c r="A13" s="28" t="str">
        <x:v>General</x:v>
      </x:c>
      <x:c r="B13" s="28" t="str">
        <x:v>National non-stipend cost multiplier</x:v>
      </x:c>
      <x:c r="C13" s="28" t="str">
        <x:v>x</x:v>
      </x:c>
      <x:c r="D13" s="44" t="n">
        <x:v>0.85</x:v>
      </x:c>
      <x:c r="E13" s="44" t="n">
        <x:v>1</x:v>
      </x:c>
      <x:c r="F13" s="44" t="n">
        <x:v>1.25</x:v>
      </x:c>
      <x:c r="G13" s="28" t="str">
        <x:v>A01</x:v>
      </x:c>
      <x:c r="H13" s="28" t="str">
        <x:v>Scenario assumption</x:v>
      </x:c>
      <x:c r="I13" s="28" t="str">
        <x:v>Applied to staffing, schools, technology, evaluation and assurance.</x:v>
      </x:c>
      <x:c r="J13" s="339"/>
      <x:c r="K13" s="339"/>
      <x:c r="L13" s="339"/>
      <x:c r="M13" s="339"/>
      <x:c r="N13" s="339"/>
      <x:c r="O13" s="339"/>
      <x:c r="P13" s="339"/>
      <x:c r="Q13" s="339"/>
      <x:c r="R13" s="339"/>
      <x:c r="S13" s="339"/>
      <x:c r="T13" s="339"/>
      <x:c r="U13" s="339"/>
      <x:c r="V13" s="339"/>
      <x:c r="W13" s="339"/>
      <x:c r="X13" s="339"/>
      <x:c r="Y13" s="339"/>
      <x:c r="Z13" s="339"/>
    </x:row>
    <x:row r="14">
      <x:c r="A14" s="28" t="str">
        <x:v>General</x:v>
      </x:c>
      <x:c r="B14" s="28" t="str">
        <x:v>National contingency on non-stipend costs</x:v>
      </x:c>
      <x:c r="C14" s="28" t="str">
        <x:v>%</x:v>
      </x:c>
      <x:c r="D14" s="46" t="n">
        <x:v>0.08</x:v>
      </x:c>
      <x:c r="E14" s="46" t="n">
        <x:v>0.1</x:v>
      </x:c>
      <x:c r="F14" s="46" t="n">
        <x:v>0.15</x:v>
      </x:c>
      <x:c r="G14" s="28" t="str">
        <x:v>S07</x:v>
      </x:c>
      <x:c r="H14" s="28" t="str">
        <x:v>Planning allowance</x:v>
      </x:c>
      <x:c r="I14" s="28" t="str">
        <x:v>Mature run-rate contingency should reduce once contracts and operating data exist.</x:v>
      </x:c>
      <x:c r="J14" s="339"/>
      <x:c r="K14" s="339"/>
      <x:c r="L14" s="339"/>
      <x:c r="M14" s="339"/>
      <x:c r="N14" s="339"/>
      <x:c r="O14" s="339"/>
      <x:c r="P14" s="339"/>
      <x:c r="Q14" s="339"/>
      <x:c r="R14" s="339"/>
      <x:c r="S14" s="339"/>
      <x:c r="T14" s="339"/>
      <x:c r="U14" s="339"/>
      <x:c r="V14" s="339"/>
      <x:c r="W14" s="339"/>
      <x:c r="X14" s="339"/>
      <x:c r="Y14" s="339"/>
      <x:c r="Z14" s="339"/>
    </x:row>
    <x:row r="15">
      <x:c r="A15" s="28" t="str">
        <x:v>General</x:v>
      </x:c>
      <x:c r="B15" s="28" t="str">
        <x:v>Treasury-aligned non-commercial social discount rate</x:v>
      </x:c>
      <x:c r="C15" s="28" t="str">
        <x:v>%</x:v>
      </x:c>
      <x:c r="D15" s="46" t="n">
        <x:v>0.02</x:v>
      </x:c>
      <x:c r="E15" s="46" t="n">
        <x:v>0.02</x:v>
      </x:c>
      <x:c r="F15" s="46" t="n">
        <x:v>0.02</x:v>
      </x:c>
      <x:c r="G15" s="28" t="str">
        <x:v>S48</x:v>
      </x:c>
      <x:c r="H15" s="28" t="str">
        <x:v>Official — source verification retained</x:v>
      </x:c>
      <x:c r="I15" s="28" t="str">
        <x:v>2% real is the Treasury-aligned rate for non-commercial social proposals. Lead public social-CBA results with this rate, subject to final source verification.</x:v>
      </x:c>
      <x:c r="J15" s="339"/>
      <x:c r="K15" s="339"/>
      <x:c r="L15" s="339"/>
      <x:c r="M15" s="339"/>
      <x:c r="N15" s="339"/>
      <x:c r="O15" s="339"/>
      <x:c r="P15" s="339"/>
      <x:c r="Q15" s="339"/>
      <x:c r="R15" s="339"/>
      <x:c r="S15" s="339"/>
      <x:c r="T15" s="339"/>
      <x:c r="U15" s="339"/>
      <x:c r="V15" s="339"/>
      <x:c r="W15" s="339"/>
      <x:c r="X15" s="339"/>
      <x:c r="Y15" s="339"/>
      <x:c r="Z15" s="339"/>
    </x:row>
    <x:row r="16">
      <x:c r="A16" s="28" t="str">
        <x:v>General</x:v>
      </x:c>
      <x:c r="B16" s="28" t="str">
        <x:v>High / mandatory sensitivity discount rate</x:v>
      </x:c>
      <x:c r="C16" s="28" t="str">
        <x:v>%</x:v>
      </x:c>
      <x:c r="D16" s="46" t="n">
        <x:v>0.08</x:v>
      </x:c>
      <x:c r="E16" s="46" t="n">
        <x:v>0.08</x:v>
      </x:c>
      <x:c r="F16" s="46" t="n">
        <x:v>0.08</x:v>
      </x:c>
      <x:c r="G16" s="28" t="str">
        <x:v>S48</x:v>
      </x:c>
      <x:c r="H16" s="28" t="str">
        <x:v>Official</x:v>
      </x:c>
      <x:c r="I16" s="28" t="str">
        <x:v>8% real is retained as the high or mandatory sensitivity and is directly used in the Human Capital &amp; Earnings analysis.</x:v>
      </x:c>
      <x:c r="J16" s="339"/>
      <x:c r="K16" s="339"/>
      <x:c r="L16" s="339"/>
      <x:c r="M16" s="339"/>
      <x:c r="N16" s="339"/>
      <x:c r="O16" s="339"/>
      <x:c r="P16" s="339"/>
      <x:c r="Q16" s="339"/>
      <x:c r="R16" s="339"/>
      <x:c r="S16" s="339"/>
      <x:c r="T16" s="339"/>
      <x:c r="U16" s="339"/>
      <x:c r="V16" s="339"/>
      <x:c r="W16" s="339"/>
      <x:c r="X16" s="339"/>
      <x:c r="Y16" s="339"/>
      <x:c r="Z16" s="339"/>
    </x:row>
    <x:row r="17">
      <x:c r="A17" s="62" t="str">
        <x:v>Pilot</x:v>
      </x:c>
      <x:c r="B17" s="62" t="str">
        <x:v>Treatment students</x:v>
      </x:c>
      <x:c r="C17" s="58" t="str">
        <x:v>students</x:v>
      </x:c>
      <x:c r="D17" s="59" t="n">
        <x:v>4200</x:v>
      </x:c>
      <x:c r="E17" s="59" t="n">
        <x:v>4200</x:v>
      </x:c>
      <x:c r="F17" s="59" t="n">
        <x:v>4200</x:v>
      </x:c>
      <x:c r="G17" s="58" t="str">
        <x:v>S01</x:v>
      </x:c>
      <x:c r="H17" s="58" t="str">
        <x:v>Scope assumption</x:v>
      </x:c>
      <x:c r="I17" s="58" t="str">
        <x:v>Keep fixed across cost scenarios so the range tests cost uncertainty, not a different programme.</x:v>
      </x:c>
      <x:c r="J17" s="339"/>
      <x:c r="K17" s="339"/>
      <x:c r="L17" s="339"/>
      <x:c r="M17" s="339"/>
      <x:c r="N17" s="339"/>
      <x:c r="O17" s="339"/>
      <x:c r="P17" s="339"/>
      <x:c r="Q17" s="339"/>
      <x:c r="R17" s="339"/>
      <x:c r="S17" s="339"/>
      <x:c r="T17" s="339"/>
      <x:c r="U17" s="339"/>
      <x:c r="V17" s="339"/>
      <x:c r="W17" s="339"/>
      <x:c r="X17" s="339"/>
      <x:c r="Y17" s="339"/>
      <x:c r="Z17" s="339"/>
    </x:row>
    <x:row r="18">
      <x:c r="A18" s="28" t="str">
        <x:v>Pilot</x:v>
      </x:c>
      <x:c r="B18" s="28" t="str">
        <x:v>Comparison students</x:v>
      </x:c>
      <x:c r="C18" s="28" t="str">
        <x:v>students</x:v>
      </x:c>
      <x:c r="D18" s="52" t="n">
        <x:v>4200</x:v>
      </x:c>
      <x:c r="E18" s="52" t="n">
        <x:v>4200</x:v>
      </x:c>
      <x:c r="F18" s="52" t="n">
        <x:v>4200</x:v>
      </x:c>
      <x:c r="G18" s="28" t="str">
        <x:v>S01</x:v>
      </x:c>
      <x:c r="H18" s="28" t="str">
        <x:v>Scope assumption</x:v>
      </x:c>
      <x:c r="I18" s="28" t="str">
        <x:v>Must be confirmed: the proposal is ambiguous whether 4,000–4,200 means treatment only or the entire trial sample.</x:v>
      </x:c>
      <x:c r="J18" s="339"/>
      <x:c r="K18" s="339"/>
      <x:c r="L18" s="339"/>
      <x:c r="M18" s="339"/>
      <x:c r="N18" s="339"/>
      <x:c r="O18" s="339"/>
      <x:c r="P18" s="339"/>
      <x:c r="Q18" s="339"/>
      <x:c r="R18" s="339"/>
      <x:c r="S18" s="339"/>
      <x:c r="T18" s="339"/>
      <x:c r="U18" s="339"/>
      <x:c r="V18" s="339"/>
      <x:c r="W18" s="339"/>
      <x:c r="X18" s="339"/>
      <x:c r="Y18" s="339"/>
      <x:c r="Z18" s="339"/>
    </x:row>
    <x:row r="19">
      <x:c r="A19" s="28" t="str">
        <x:v>Pilot</x:v>
      </x:c>
      <x:c r="B19" s="28" t="str">
        <x:v>Treatment schools</x:v>
      </x:c>
      <x:c r="C19" s="28" t="str">
        <x:v>schools</x:v>
      </x:c>
      <x:c r="D19" s="52" t="n">
        <x:v>8</x:v>
      </x:c>
      <x:c r="E19" s="52" t="n">
        <x:v>8</x:v>
      </x:c>
      <x:c r="F19" s="52" t="n">
        <x:v>8</x:v>
      </x:c>
      <x:c r="G19" s="28" t="str">
        <x:v>S01</x:v>
      </x:c>
      <x:c r="H19" s="28" t="str">
        <x:v>Scope assumption</x:v>
      </x:c>
      <x:c r="I19" s="28" t="str">
        <x:v>At least two regions; exact school count requires power analysis and implementation testing.</x:v>
      </x:c>
      <x:c r="J19" s="339"/>
      <x:c r="K19" s="339"/>
      <x:c r="L19" s="339"/>
      <x:c r="M19" s="339"/>
      <x:c r="N19" s="339"/>
      <x:c r="O19" s="339"/>
      <x:c r="P19" s="339"/>
      <x:c r="Q19" s="339"/>
      <x:c r="R19" s="339"/>
      <x:c r="S19" s="339"/>
      <x:c r="T19" s="339"/>
      <x:c r="U19" s="339"/>
      <x:c r="V19" s="339"/>
      <x:c r="W19" s="339"/>
      <x:c r="X19" s="339"/>
      <x:c r="Y19" s="339"/>
      <x:c r="Z19" s="339"/>
    </x:row>
    <x:row r="20">
      <x:c r="A20" s="28" t="str">
        <x:v>Pilot</x:v>
      </x:c>
      <x:c r="B20" s="28" t="str">
        <x:v>Comparison schools</x:v>
      </x:c>
      <x:c r="C20" s="28" t="str">
        <x:v>schools</x:v>
      </x:c>
      <x:c r="D20" s="52" t="n">
        <x:v>8</x:v>
      </x:c>
      <x:c r="E20" s="52" t="n">
        <x:v>8</x:v>
      </x:c>
      <x:c r="F20" s="52" t="n">
        <x:v>8</x:v>
      </x:c>
      <x:c r="G20" s="28" t="str">
        <x:v>S01</x:v>
      </x:c>
      <x:c r="H20" s="28" t="str">
        <x:v>Scope assumption</x:v>
      </x:c>
      <x:c r="I20" s="28" t="str">
        <x:v>Comparison schools still impose data, consent and evaluation costs.</x:v>
      </x:c>
      <x:c r="J20" s="339"/>
      <x:c r="K20" s="339"/>
      <x:c r="L20" s="339"/>
      <x:c r="M20" s="339"/>
      <x:c r="N20" s="339"/>
      <x:c r="O20" s="339"/>
      <x:c r="P20" s="339"/>
      <x:c r="Q20" s="339"/>
      <x:c r="R20" s="339"/>
      <x:c r="S20" s="339"/>
      <x:c r="T20" s="339"/>
      <x:c r="U20" s="339"/>
      <x:c r="V20" s="339"/>
      <x:c r="W20" s="339"/>
      <x:c r="X20" s="339"/>
      <x:c r="Y20" s="339"/>
      <x:c r="Z20" s="339"/>
    </x:row>
    <x:row r="21">
      <x:c r="A21" s="28" t="str">
        <x:v>Pilot</x:v>
      </x:c>
      <x:c r="B21" s="28" t="str">
        <x:v>Pilot earning weeks per year</x:v>
      </x:c>
      <x:c r="C21" s="28" t="str">
        <x:v>weeks</x:v>
      </x:c>
      <x:c r="D21" s="42" t="n">
        <x:v>38</x:v>
      </x:c>
      <x:c r="E21" s="42" t="n">
        <x:v>40</x:v>
      </x:c>
      <x:c r="F21" s="42" t="n">
        <x:v>42</x:v>
      </x:c>
      <x:c r="G21" s="28" t="str">
        <x:v>A06</x:v>
      </x:c>
      <x:c r="H21" s="28" t="str">
        <x:v>Material assumption</x:v>
      </x:c>
      <x:c r="I21" s="28" t="str">
        <x:v>School calendar and payment rules must be specified.</x:v>
      </x:c>
      <x:c r="J21" s="339"/>
      <x:c r="K21" s="339"/>
      <x:c r="L21" s="339"/>
      <x:c r="M21" s="339"/>
      <x:c r="N21" s="339"/>
      <x:c r="O21" s="339"/>
      <x:c r="P21" s="339"/>
      <x:c r="Q21" s="339"/>
      <x:c r="R21" s="339"/>
      <x:c r="S21" s="339"/>
      <x:c r="T21" s="339"/>
      <x:c r="U21" s="339"/>
      <x:c r="V21" s="339"/>
      <x:c r="W21" s="339"/>
      <x:c r="X21" s="339"/>
      <x:c r="Y21" s="339"/>
      <x:c r="Z21" s="339"/>
    </x:row>
    <x:row r="22">
      <x:c r="A22" s="28" t="str">
        <x:v>Pilot</x:v>
      </x:c>
      <x:c r="B22" s="28" t="str">
        <x:v>Pilot maximum weekly stipend</x:v>
      </x:c>
      <x:c r="C22" s="28" t="str">
        <x:v>NZD/student/week</x:v>
      </x:c>
      <x:c r="D22" s="48" t="n">
        <x:v>125</x:v>
      </x:c>
      <x:c r="E22" s="48" t="n">
        <x:v>150</x:v>
      </x:c>
      <x:c r="F22" s="48" t="n">
        <x:v>150</x:v>
      </x:c>
      <x:c r="G22" s="28" t="str">
        <x:v>S01</x:v>
      </x:c>
      <x:c r="H22" s="28" t="str">
        <x:v>Policy assumption</x:v>
      </x:c>
      <x:c r="I22" s="28" t="str">
        <x:v>Maximum, not expected average.</x:v>
      </x:c>
      <x:c r="J22" s="339"/>
      <x:c r="K22" s="339"/>
      <x:c r="L22" s="339"/>
      <x:c r="M22" s="339"/>
      <x:c r="N22" s="339"/>
      <x:c r="O22" s="339"/>
      <x:c r="P22" s="339"/>
      <x:c r="Q22" s="339"/>
      <x:c r="R22" s="339"/>
      <x:c r="S22" s="339"/>
      <x:c r="T22" s="339"/>
      <x:c r="U22" s="339"/>
      <x:c r="V22" s="339"/>
      <x:c r="W22" s="339"/>
      <x:c r="X22" s="339"/>
      <x:c r="Y22" s="339"/>
      <x:c r="Z22" s="339"/>
    </x:row>
    <x:row r="23">
      <x:c r="A23" s="28" t="str">
        <x:v>Pilot</x:v>
      </x:c>
      <x:c r="B23" s="28" t="str">
        <x:v>Average earned proportion — Year 1</x:v>
      </x:c>
      <x:c r="C23" s="28" t="str">
        <x:v>%</x:v>
      </x:c>
      <x:c r="D23" s="54" t="n">
        <x:v>0.45</x:v>
      </x:c>
      <x:c r="E23" s="54" t="n">
        <x:v>0.55</x:v>
      </x:c>
      <x:c r="F23" s="54" t="n">
        <x:v>0.7</x:v>
      </x:c>
      <x:c r="G23" s="28" t="str">
        <x:v>A06</x:v>
      </x:c>
      <x:c r="H23" s="28" t="str">
        <x:v>High uncertainty</x:v>
      </x:c>
      <x:c r="I23" s="28" t="str">
        <x:v>Major cost driver; no delivery data yet.</x:v>
      </x:c>
      <x:c r="J23" s="339"/>
      <x:c r="K23" s="339"/>
      <x:c r="L23" s="339"/>
      <x:c r="M23" s="339"/>
      <x:c r="N23" s="339"/>
      <x:c r="O23" s="339"/>
      <x:c r="P23" s="339"/>
      <x:c r="Q23" s="339"/>
      <x:c r="R23" s="339"/>
      <x:c r="S23" s="339"/>
      <x:c r="T23" s="339"/>
      <x:c r="U23" s="339"/>
      <x:c r="V23" s="339"/>
      <x:c r="W23" s="339"/>
      <x:c r="X23" s="339"/>
      <x:c r="Y23" s="339"/>
      <x:c r="Z23" s="339"/>
    </x:row>
    <x:row r="24">
      <x:c r="A24" s="28" t="str">
        <x:v>Pilot</x:v>
      </x:c>
      <x:c r="B24" s="28" t="str">
        <x:v>Average earned proportion — Year 2</x:v>
      </x:c>
      <x:c r="C24" s="28" t="str">
        <x:v>%</x:v>
      </x:c>
      <x:c r="D24" s="54" t="n">
        <x:v>0.55</x:v>
      </x:c>
      <x:c r="E24" s="54" t="n">
        <x:v>0.65</x:v>
      </x:c>
      <x:c r="F24" s="54" t="n">
        <x:v>0.8</x:v>
      </x:c>
      <x:c r="G24" s="28" t="str">
        <x:v>A06</x:v>
      </x:c>
      <x:c r="H24" s="28" t="str">
        <x:v>High uncertainty</x:v>
      </x:c>
      <x:c r="I24" s="28" t="str">
        <x:v>Assumes engagement and verification improve.</x:v>
      </x:c>
      <x:c r="J24" s="339"/>
      <x:c r="K24" s="339"/>
      <x:c r="L24" s="339"/>
      <x:c r="M24" s="339"/>
      <x:c r="N24" s="339"/>
      <x:c r="O24" s="339"/>
      <x:c r="P24" s="339"/>
      <x:c r="Q24" s="339"/>
      <x:c r="R24" s="339"/>
      <x:c r="S24" s="339"/>
      <x:c r="T24" s="339"/>
      <x:c r="U24" s="339"/>
      <x:c r="V24" s="339"/>
      <x:c r="W24" s="339"/>
      <x:c r="X24" s="339"/>
      <x:c r="Y24" s="339"/>
      <x:c r="Z24" s="339"/>
    </x:row>
    <x:row r="25">
      <x:c r="A25" s="28" t="str">
        <x:v>Pilot</x:v>
      </x:c>
      <x:c r="B25" s="28" t="str">
        <x:v>Average earned proportion — Year 3</x:v>
      </x:c>
      <x:c r="C25" s="28" t="str">
        <x:v>%</x:v>
      </x:c>
      <x:c r="D25" s="54" t="n">
        <x:v>0.6</x:v>
      </x:c>
      <x:c r="E25" s="54" t="n">
        <x:v>0.7</x:v>
      </x:c>
      <x:c r="F25" s="54" t="n">
        <x:v>0.85</x:v>
      </x:c>
      <x:c r="G25" s="28" t="str">
        <x:v>A06</x:v>
      </x:c>
      <x:c r="H25" s="28" t="str">
        <x:v>High uncertainty</x:v>
      </x:c>
      <x:c r="I25" s="28" t="str">
        <x:v>Must be stress-tested for gaming and work displacement.</x:v>
      </x:c>
      <x:c r="J25" s="339"/>
      <x:c r="K25" s="339"/>
      <x:c r="L25" s="339"/>
      <x:c r="M25" s="339"/>
      <x:c r="N25" s="339"/>
      <x:c r="O25" s="339"/>
      <x:c r="P25" s="339"/>
      <x:c r="Q25" s="339"/>
      <x:c r="R25" s="339"/>
      <x:c r="S25" s="339"/>
      <x:c r="T25" s="339"/>
      <x:c r="U25" s="339"/>
      <x:c r="V25" s="339"/>
      <x:c r="W25" s="339"/>
      <x:c r="X25" s="339"/>
      <x:c r="Y25" s="339"/>
      <x:c r="Z25" s="339"/>
    </x:row>
    <x:row r="26">
      <x:c r="A26" s="28" t="str">
        <x:v>Pilot</x:v>
      </x:c>
      <x:c r="B26" s="28" t="str">
        <x:v>Immediate-access share of participation payment</x:v>
      </x:c>
      <x:c r="C26" s="28" t="str">
        <x:v>%</x:v>
      </x:c>
      <x:c r="D26" s="46" t="n">
        <x:v>0.5</x:v>
      </x:c>
      <x:c r="E26" s="46" t="n">
        <x:v>0.5</x:v>
      </x:c>
      <x:c r="F26" s="46" t="n">
        <x:v>0.5</x:v>
      </x:c>
      <x:c r="G26" s="28" t="str">
        <x:v>S01</x:v>
      </x:c>
      <x:c r="H26" s="28" t="str">
        <x:v>Policy assumption</x:v>
      </x:c>
      <x:c r="I26" s="28" t="str">
        <x:v>The remaining share is deposited into the He Ara Angitū Learning Capital Account. Both portions remain programme expenditure.</x:v>
      </x:c>
      <x:c r="J26" s="339"/>
      <x:c r="K26" s="339"/>
      <x:c r="L26" s="339"/>
      <x:c r="M26" s="339"/>
      <x:c r="N26" s="339"/>
      <x:c r="O26" s="339"/>
      <x:c r="P26" s="339"/>
      <x:c r="Q26" s="339"/>
      <x:c r="R26" s="339"/>
      <x:c r="S26" s="339"/>
      <x:c r="T26" s="339"/>
      <x:c r="U26" s="339"/>
      <x:c r="V26" s="339"/>
      <x:c r="W26" s="339"/>
      <x:c r="X26" s="339"/>
      <x:c r="Y26" s="339"/>
      <x:c r="Z26" s="339"/>
    </x:row>
    <x:row r="27">
      <x:c r="A27" s="28" t="str">
        <x:v>Pilot</x:v>
      </x:c>
      <x:c r="B27" s="28" t="str">
        <x:v>Pilot students per school coordinator</x:v>
      </x:c>
      <x:c r="C27" s="28" t="str">
        <x:v>students/FTE</x:v>
      </x:c>
      <x:c r="D27" s="40" t="n">
        <x:v>650</x:v>
      </x:c>
      <x:c r="E27" s="40" t="n">
        <x:v>500</x:v>
      </x:c>
      <x:c r="F27" s="40" t="n">
        <x:v>400</x:v>
      </x:c>
      <x:c r="G27" s="28" t="str">
        <x:v>S01</x:v>
      </x:c>
      <x:c r="H27" s="28" t="str">
        <x:v>Workload test required</x:v>
      </x:c>
      <x:c r="I27" s="28" t="str">
        <x:v>Central case gives about 8.4 FTE, budgeted as 9 FTE in detailed costing.</x:v>
      </x:c>
      <x:c r="J27" s="339"/>
      <x:c r="K27" s="339"/>
      <x:c r="L27" s="339"/>
      <x:c r="M27" s="339"/>
      <x:c r="N27" s="339"/>
      <x:c r="O27" s="339"/>
      <x:c r="P27" s="339"/>
      <x:c r="Q27" s="339"/>
      <x:c r="R27" s="339"/>
      <x:c r="S27" s="339"/>
      <x:c r="T27" s="339"/>
      <x:c r="U27" s="339"/>
      <x:c r="V27" s="339"/>
      <x:c r="W27" s="339"/>
      <x:c r="X27" s="339"/>
      <x:c r="Y27" s="339"/>
      <x:c r="Z27" s="339"/>
    </x:row>
    <x:row r="28">
      <x:c r="A28" s="28" t="str">
        <x:v>Pilot</x:v>
      </x:c>
      <x:c r="B28" s="28" t="str">
        <x:v>Pilot loaded school coordinator cost</x:v>
      </x:c>
      <x:c r="C28" s="28" t="str">
        <x:v>NZD/FTE/year</x:v>
      </x:c>
      <x:c r="D28" s="48" t="n">
        <x:v>105000</x:v>
      </x:c>
      <x:c r="E28" s="48" t="n">
        <x:v>115000</x:v>
      </x:c>
      <x:c r="F28" s="48" t="n">
        <x:v>130000</x:v>
      </x:c>
      <x:c r="G28" s="28" t="str">
        <x:v>S09;S11</x:v>
      </x:c>
      <x:c r="H28" s="28" t="str">
        <x:v>Benchmark</x:v>
      </x:c>
      <x:c r="I28" s="28" t="str">
        <x:v>Includes employment load and operating support.</x:v>
      </x:c>
      <x:c r="J28" s="339"/>
      <x:c r="K28" s="339"/>
      <x:c r="L28" s="339"/>
      <x:c r="M28" s="339"/>
      <x:c r="N28" s="339"/>
      <x:c r="O28" s="339"/>
      <x:c r="P28" s="339"/>
      <x:c r="Q28" s="339"/>
      <x:c r="R28" s="339"/>
      <x:c r="S28" s="339"/>
      <x:c r="T28" s="339"/>
      <x:c r="U28" s="339"/>
      <x:c r="V28" s="339"/>
      <x:c r="W28" s="339"/>
      <x:c r="X28" s="339"/>
      <x:c r="Y28" s="339"/>
      <x:c r="Z28" s="339"/>
    </x:row>
    <x:row r="29">
      <x:c r="A29" s="28" t="str">
        <x:v>Pilot</x:v>
      </x:c>
      <x:c r="B29" s="28" t="str">
        <x:v>Baseline sustained-NEET risk in pilot cohort</x:v>
      </x:c>
      <x:c r="C29" s="28" t="str">
        <x:v>%</x:v>
      </x:c>
      <x:c r="D29" s="54" t="n">
        <x:v>0.2</x:v>
      </x:c>
      <x:c r="E29" s="54" t="n">
        <x:v>0.25</x:v>
      </x:c>
      <x:c r="F29" s="54" t="n">
        <x:v>0.3</x:v>
      </x:c>
      <x:c r="G29" s="28" t="str">
        <x:v>S01;S02</x:v>
      </x:c>
      <x:c r="H29" s="28" t="str">
        <x:v>Illustrative only</x:v>
      </x:c>
      <x:c r="I29" s="28" t="str">
        <x:v>Not the national point-in-time NEET rate. Must be estimated using linked data and agreed definitions.</x:v>
      </x:c>
      <x:c r="J29" s="339"/>
      <x:c r="K29" s="339"/>
      <x:c r="L29" s="339"/>
      <x:c r="M29" s="339"/>
      <x:c r="N29" s="339"/>
      <x:c r="O29" s="339"/>
      <x:c r="P29" s="339"/>
      <x:c r="Q29" s="339"/>
      <x:c r="R29" s="339"/>
      <x:c r="S29" s="339"/>
      <x:c r="T29" s="339"/>
      <x:c r="U29" s="339"/>
      <x:c r="V29" s="339"/>
      <x:c r="W29" s="339"/>
      <x:c r="X29" s="339"/>
      <x:c r="Y29" s="339"/>
      <x:c r="Z29" s="339"/>
    </x:row>
    <x:row r="30">
      <x:c r="A30" s="28" t="str">
        <x:v>Pilot</x:v>
      </x:c>
      <x:c r="B30" s="28" t="str">
        <x:v>Pilot relative reduction in sustained-NEET risk</x:v>
      </x:c>
      <x:c r="C30" s="28" t="str">
        <x:v>%</x:v>
      </x:c>
      <x:c r="D30" s="46" t="n">
        <x:v>0.1</x:v>
      </x:c>
      <x:c r="E30" s="46" t="n">
        <x:v>0.25</x:v>
      </x:c>
      <x:c r="F30" s="46" t="n">
        <x:v>0.4</x:v>
      </x:c>
      <x:c r="G30" s="28" t="str"/>
      <x:c r="H30" s="28" t="str">
        <x:v>Scenario only</x:v>
      </x:c>
      <x:c r="I30" s="28" t="str">
        <x:v>An outcome to be tested, not a forecast.</x:v>
      </x:c>
      <x:c r="J30" s="339"/>
      <x:c r="K30" s="339"/>
      <x:c r="L30" s="339"/>
      <x:c r="M30" s="339"/>
      <x:c r="N30" s="339"/>
      <x:c r="O30" s="339"/>
      <x:c r="P30" s="339"/>
      <x:c r="Q30" s="339"/>
      <x:c r="R30" s="339"/>
      <x:c r="S30" s="339"/>
      <x:c r="T30" s="339"/>
      <x:c r="U30" s="339"/>
      <x:c r="V30" s="339"/>
      <x:c r="W30" s="339"/>
      <x:c r="X30" s="339"/>
      <x:c r="Y30" s="339"/>
      <x:c r="Z30" s="339"/>
    </x:row>
    <x:row r="31">
      <x:c r="A31" s="28" t="str">
        <x:v>Pilot</x:v>
      </x:c>
      <x:c r="B31" s="28" t="str">
        <x:v>Pilot persistence / attribution factor</x:v>
      </x:c>
      <x:c r="C31" s="28" t="str">
        <x:v>%</x:v>
      </x:c>
      <x:c r="D31" s="46" t="n">
        <x:v>0.4</x:v>
      </x:c>
      <x:c r="E31" s="46" t="n">
        <x:v>0.6</x:v>
      </x:c>
      <x:c r="F31" s="46" t="n">
        <x:v>0.75</x:v>
      </x:c>
      <x:c r="G31" s="28" t="str">
        <x:v>S04;S05</x:v>
      </x:c>
      <x:c r="H31" s="28" t="str">
        <x:v>Scenario only</x:v>
      </x:c>
      <x:c r="I31" s="28" t="str">
        <x:v>Haircut for fade-out, counterfactual uncertainty and attribution.</x:v>
      </x:c>
      <x:c r="J31" s="339"/>
      <x:c r="K31" s="339"/>
      <x:c r="L31" s="339"/>
      <x:c r="M31" s="339"/>
      <x:c r="N31" s="339"/>
      <x:c r="O31" s="339"/>
      <x:c r="P31" s="339"/>
      <x:c r="Q31" s="339"/>
      <x:c r="R31" s="339"/>
      <x:c r="S31" s="339"/>
      <x:c r="T31" s="339"/>
      <x:c r="U31" s="339"/>
      <x:c r="V31" s="339"/>
      <x:c r="W31" s="339"/>
      <x:c r="X31" s="339"/>
      <x:c r="Y31" s="339"/>
      <x:c r="Z31" s="339"/>
    </x:row>
    <x:row r="32">
      <x:c r="A32" s="62" t="str">
        <x:v>National</x:v>
      </x:c>
      <x:c r="B32" s="62" t="str">
        <x:v>Eligible secondary-student stock</x:v>
      </x:c>
      <x:c r="C32" s="58" t="str">
        <x:v>students</x:v>
      </x:c>
      <x:c r="D32" s="59" t="n">
        <x:v>311743</x:v>
      </x:c>
      <x:c r="E32" s="59" t="n">
        <x:v>311743</x:v>
      </x:c>
      <x:c r="F32" s="59" t="n">
        <x:v>311743</x:v>
      </x:c>
      <x:c r="G32" s="58" t="str">
        <x:v>S08;A07</x:v>
      </x:c>
      <x:c r="H32" s="58" t="str">
        <x:v>Proxy — replace</x:v>
      </x:c>
      <x:c r="I32" s="58" t="str">
        <x:v>2025 secondary subtotal. It includes some Year 7–8 students and excludes secondary-age students in composite schools.</x:v>
      </x:c>
      <x:c r="J32" s="339"/>
      <x:c r="K32" s="339"/>
      <x:c r="L32" s="339"/>
      <x:c r="M32" s="339"/>
      <x:c r="N32" s="339"/>
      <x:c r="O32" s="339"/>
      <x:c r="P32" s="339"/>
      <x:c r="Q32" s="339"/>
      <x:c r="R32" s="339"/>
      <x:c r="S32" s="339"/>
      <x:c r="T32" s="339"/>
      <x:c r="U32" s="339"/>
      <x:c r="V32" s="339"/>
      <x:c r="W32" s="339"/>
      <x:c r="X32" s="339"/>
      <x:c r="Y32" s="339"/>
      <x:c r="Z32" s="339"/>
    </x:row>
    <x:row r="33">
      <x:c r="A33" s="28" t="str">
        <x:v>National</x:v>
      </x:c>
      <x:c r="B33" s="28" t="str">
        <x:v>Programme years per student</x:v>
      </x:c>
      <x:c r="C33" s="28" t="str">
        <x:v>years</x:v>
      </x:c>
      <x:c r="D33" s="52" t="n">
        <x:v>5</x:v>
      </x:c>
      <x:c r="E33" s="52" t="n">
        <x:v>5</x:v>
      </x:c>
      <x:c r="F33" s="52" t="n">
        <x:v>5</x:v>
      </x:c>
      <x:c r="G33" s="28" t="str">
        <x:v>S01</x:v>
      </x:c>
      <x:c r="H33" s="28" t="str">
        <x:v>Scope assumption</x:v>
      </x:c>
      <x:c r="I33" s="28" t="str">
        <x:v>Converts the student stock into an annual entrant/exit cohort and prevents fivefold benefit double counting.</x:v>
      </x:c>
      <x:c r="J33" s="339"/>
      <x:c r="K33" s="339"/>
      <x:c r="L33" s="339"/>
      <x:c r="M33" s="339"/>
      <x:c r="N33" s="339"/>
      <x:c r="O33" s="339"/>
      <x:c r="P33" s="339"/>
      <x:c r="Q33" s="339"/>
      <x:c r="R33" s="339"/>
      <x:c r="S33" s="339"/>
      <x:c r="T33" s="339"/>
      <x:c r="U33" s="339"/>
      <x:c r="V33" s="339"/>
      <x:c r="W33" s="339"/>
      <x:c r="X33" s="339"/>
      <x:c r="Y33" s="339"/>
      <x:c r="Z33" s="339"/>
    </x:row>
    <x:row r="34">
      <x:c r="A34" s="28" t="str">
        <x:v>National</x:v>
      </x:c>
      <x:c r="B34" s="28" t="str">
        <x:v>Eligible schools at full rollout</x:v>
      </x:c>
      <x:c r="C34" s="28" t="str">
        <x:v>schools</x:v>
      </x:c>
      <x:c r="D34" s="52" t="n">
        <x:v>500</x:v>
      </x:c>
      <x:c r="E34" s="52" t="n">
        <x:v>500</x:v>
      </x:c>
      <x:c r="F34" s="52" t="n">
        <x:v>500</x:v>
      </x:c>
      <x:c r="G34" s="28" t="str">
        <x:v>A07</x:v>
      </x:c>
      <x:c r="H34" s="28" t="str">
        <x:v>Proxy — replace</x:v>
      </x:c>
      <x:c r="I34" s="28" t="str">
        <x:v>Exact count depends on school types, kura, composite schools and participation model.</x:v>
      </x:c>
      <x:c r="J34" s="339"/>
      <x:c r="K34" s="339"/>
      <x:c r="L34" s="339"/>
      <x:c r="M34" s="339"/>
      <x:c r="N34" s="339"/>
      <x:c r="O34" s="339"/>
      <x:c r="P34" s="339"/>
      <x:c r="Q34" s="339"/>
      <x:c r="R34" s="339"/>
      <x:c r="S34" s="339"/>
      <x:c r="T34" s="339"/>
      <x:c r="U34" s="339"/>
      <x:c r="V34" s="339"/>
      <x:c r="W34" s="339"/>
      <x:c r="X34" s="339"/>
      <x:c r="Y34" s="339"/>
      <x:c r="Z34" s="339"/>
    </x:row>
    <x:row r="35">
      <x:c r="A35" s="28" t="str">
        <x:v>National</x:v>
      </x:c>
      <x:c r="B35" s="28" t="str">
        <x:v>National earning weeks per year</x:v>
      </x:c>
      <x:c r="C35" s="28" t="str">
        <x:v>weeks</x:v>
      </x:c>
      <x:c r="D35" s="52" t="n">
        <x:v>38</x:v>
      </x:c>
      <x:c r="E35" s="52" t="n">
        <x:v>40</x:v>
      </x:c>
      <x:c r="F35" s="52" t="n">
        <x:v>42</x:v>
      </x:c>
      <x:c r="G35" s="28" t="str">
        <x:v>A06</x:v>
      </x:c>
      <x:c r="H35" s="28" t="str">
        <x:v>Material assumption</x:v>
      </x:c>
      <x:c r="I35" s="28" t="str">
        <x:v>National operating rule.</x:v>
      </x:c>
      <x:c r="J35" s="339"/>
      <x:c r="K35" s="339"/>
      <x:c r="L35" s="339"/>
      <x:c r="M35" s="339"/>
      <x:c r="N35" s="339"/>
      <x:c r="O35" s="339"/>
      <x:c r="P35" s="339"/>
      <x:c r="Q35" s="339"/>
      <x:c r="R35" s="339"/>
      <x:c r="S35" s="339"/>
      <x:c r="T35" s="339"/>
      <x:c r="U35" s="339"/>
      <x:c r="V35" s="339"/>
      <x:c r="W35" s="339"/>
      <x:c r="X35" s="339"/>
      <x:c r="Y35" s="339"/>
      <x:c r="Z35" s="339"/>
    </x:row>
    <x:row r="36">
      <x:c r="A36" s="28" t="str">
        <x:v>National</x:v>
      </x:c>
      <x:c r="B36" s="28" t="str">
        <x:v>National maximum weekly stipend</x:v>
      </x:c>
      <x:c r="C36" s="28" t="str">
        <x:v>NZD/student/week</x:v>
      </x:c>
      <x:c r="D36" s="48" t="n">
        <x:v>125</x:v>
      </x:c>
      <x:c r="E36" s="48" t="n">
        <x:v>150</x:v>
      </x:c>
      <x:c r="F36" s="48" t="n">
        <x:v>150</x:v>
      </x:c>
      <x:c r="G36" s="28" t="str">
        <x:v>S01</x:v>
      </x:c>
      <x:c r="H36" s="28" t="str">
        <x:v>Policy assumption</x:v>
      </x:c>
      <x:c r="I36" s="28" t="str">
        <x:v>Maximum, not expected average.</x:v>
      </x:c>
      <x:c r="J36" s="339"/>
      <x:c r="K36" s="339"/>
      <x:c r="L36" s="339"/>
      <x:c r="M36" s="339"/>
      <x:c r="N36" s="339"/>
      <x:c r="O36" s="339"/>
      <x:c r="P36" s="339"/>
      <x:c r="Q36" s="339"/>
      <x:c r="R36" s="339"/>
      <x:c r="S36" s="339"/>
      <x:c r="T36" s="339"/>
      <x:c r="U36" s="339"/>
      <x:c r="V36" s="339"/>
      <x:c r="W36" s="339"/>
      <x:c r="X36" s="339"/>
      <x:c r="Y36" s="339"/>
      <x:c r="Z36" s="339"/>
    </x:row>
    <x:row r="37">
      <x:c r="A37" s="28" t="str">
        <x:v>National</x:v>
      </x:c>
      <x:c r="B37" s="28" t="str">
        <x:v>National average earned proportion</x:v>
      </x:c>
      <x:c r="C37" s="28" t="str">
        <x:v>%</x:v>
      </x:c>
      <x:c r="D37" s="54" t="n">
        <x:v>0.5</x:v>
      </x:c>
      <x:c r="E37" s="54" t="n">
        <x:v>0.65</x:v>
      </x:c>
      <x:c r="F37" s="54" t="n">
        <x:v>0.8</x:v>
      </x:c>
      <x:c r="G37" s="28" t="str">
        <x:v>A06</x:v>
      </x:c>
      <x:c r="H37" s="28" t="str">
        <x:v>High uncertainty</x:v>
      </x:c>
      <x:c r="I37" s="28" t="str">
        <x:v>Largest national cost driver.</x:v>
      </x:c>
      <x:c r="J37" s="339"/>
      <x:c r="K37" s="339"/>
      <x:c r="L37" s="339"/>
      <x:c r="M37" s="339"/>
      <x:c r="N37" s="339"/>
      <x:c r="O37" s="339"/>
      <x:c r="P37" s="339"/>
      <x:c r="Q37" s="339"/>
      <x:c r="R37" s="339"/>
      <x:c r="S37" s="339"/>
      <x:c r="T37" s="339"/>
      <x:c r="U37" s="339"/>
      <x:c r="V37" s="339"/>
      <x:c r="W37" s="339"/>
      <x:c r="X37" s="339"/>
      <x:c r="Y37" s="339"/>
      <x:c r="Z37" s="339"/>
    </x:row>
    <x:row r="38">
      <x:c r="A38" s="28" t="str">
        <x:v>National</x:v>
      </x:c>
      <x:c r="B38" s="28" t="str">
        <x:v>National students per school coordinator</x:v>
      </x:c>
      <x:c r="C38" s="28" t="str">
        <x:v>students/FTE</x:v>
      </x:c>
      <x:c r="D38" s="56" t="n">
        <x:v>700</x:v>
      </x:c>
      <x:c r="E38" s="56" t="n">
        <x:v>600</x:v>
      </x:c>
      <x:c r="F38" s="56" t="n">
        <x:v>500</x:v>
      </x:c>
      <x:c r="G38" s="28" t="str">
        <x:v>S01</x:v>
      </x:c>
      <x:c r="H38" s="28" t="str">
        <x:v>Workload test required</x:v>
      </x:c>
      <x:c r="I38" s="28" t="str">
        <x:v>Scale efficiencies may reduce the ratio, but high-need schools may require more staff.</x:v>
      </x:c>
      <x:c r="J38" s="339"/>
      <x:c r="K38" s="339"/>
      <x:c r="L38" s="339"/>
      <x:c r="M38" s="339"/>
      <x:c r="N38" s="339"/>
      <x:c r="O38" s="339"/>
      <x:c r="P38" s="339"/>
      <x:c r="Q38" s="339"/>
      <x:c r="R38" s="339"/>
      <x:c r="S38" s="339"/>
      <x:c r="T38" s="339"/>
      <x:c r="U38" s="339"/>
      <x:c r="V38" s="339"/>
      <x:c r="W38" s="339"/>
      <x:c r="X38" s="339"/>
      <x:c r="Y38" s="339"/>
      <x:c r="Z38" s="339"/>
    </x:row>
    <x:row r="39">
      <x:c r="A39" s="28" t="str">
        <x:v>National</x:v>
      </x:c>
      <x:c r="B39" s="28" t="str">
        <x:v>National loaded school coordinator cost</x:v>
      </x:c>
      <x:c r="C39" s="28" t="str">
        <x:v>NZD/FTE/year</x:v>
      </x:c>
      <x:c r="D39" s="48" t="n">
        <x:v>105000</x:v>
      </x:c>
      <x:c r="E39" s="48" t="n">
        <x:v>115000</x:v>
      </x:c>
      <x:c r="F39" s="48" t="n">
        <x:v>130000</x:v>
      </x:c>
      <x:c r="G39" s="28" t="str">
        <x:v>S09;S11</x:v>
      </x:c>
      <x:c r="H39" s="28" t="str">
        <x:v>Benchmark</x:v>
      </x:c>
      <x:c r="I39" s="28" t="str">
        <x:v>Annual loaded employment cost.</x:v>
      </x:c>
      <x:c r="J39" s="339"/>
      <x:c r="K39" s="339"/>
      <x:c r="L39" s="339"/>
      <x:c r="M39" s="339"/>
      <x:c r="N39" s="339"/>
      <x:c r="O39" s="339"/>
      <x:c r="P39" s="339"/>
      <x:c r="Q39" s="339"/>
      <x:c r="R39" s="339"/>
      <x:c r="S39" s="339"/>
      <x:c r="T39" s="339"/>
      <x:c r="U39" s="339"/>
      <x:c r="V39" s="339"/>
      <x:c r="W39" s="339"/>
      <x:c r="X39" s="339"/>
      <x:c r="Y39" s="339"/>
      <x:c r="Z39" s="339"/>
    </x:row>
    <x:row r="40">
      <x:c r="A40" s="28" t="str">
        <x:v>National</x:v>
      </x:c>
      <x:c r="B40" s="28" t="str">
        <x:v>Baseline sustained-NEET risk per annual cohort</x:v>
      </x:c>
      <x:c r="C40" s="28" t="str">
        <x:v>%</x:v>
      </x:c>
      <x:c r="D40" s="54" t="n">
        <x:v>0.1</x:v>
      </x:c>
      <x:c r="E40" s="54" t="n">
        <x:v>0.15</x:v>
      </x:c>
      <x:c r="F40" s="54" t="n">
        <x:v>0.2</x:v>
      </x:c>
      <x:c r="G40" s="28" t="str">
        <x:v>S02</x:v>
      </x:c>
      <x:c r="H40" s="28" t="str">
        <x:v>Illustrative only</x:v>
      </x:c>
      <x:c r="I40" s="28" t="str">
        <x:v>Must not be confused with the 15–24 point-in-time NEET rate.</x:v>
      </x:c>
      <x:c r="J40" s="339"/>
      <x:c r="K40" s="339"/>
      <x:c r="L40" s="339"/>
      <x:c r="M40" s="339"/>
      <x:c r="N40" s="339"/>
      <x:c r="O40" s="339"/>
      <x:c r="P40" s="339"/>
      <x:c r="Q40" s="339"/>
      <x:c r="R40" s="339"/>
      <x:c r="S40" s="339"/>
      <x:c r="T40" s="339"/>
      <x:c r="U40" s="339"/>
      <x:c r="V40" s="339"/>
      <x:c r="W40" s="339"/>
      <x:c r="X40" s="339"/>
      <x:c r="Y40" s="339"/>
      <x:c r="Z40" s="339"/>
    </x:row>
    <x:row r="41">
      <x:c r="A41" s="28" t="str">
        <x:v>National</x:v>
      </x:c>
      <x:c r="B41" s="28" t="str">
        <x:v>National relative reduction in sustained-NEET risk</x:v>
      </x:c>
      <x:c r="C41" s="28" t="str">
        <x:v>%</x:v>
      </x:c>
      <x:c r="D41" s="54" t="n">
        <x:v>0.1</x:v>
      </x:c>
      <x:c r="E41" s="54" t="n">
        <x:v>0.25</x:v>
      </x:c>
      <x:c r="F41" s="54" t="n">
        <x:v>0.4</x:v>
      </x:c>
      <x:c r="G41" s="28" t="str"/>
      <x:c r="H41" s="28" t="str">
        <x:v>Scenario only</x:v>
      </x:c>
      <x:c r="I41" s="28" t="str">
        <x:v>A 25% relative reduction means 15% falls to 11.25%, not by 25 percentage points.</x:v>
      </x:c>
      <x:c r="J41" s="339"/>
      <x:c r="K41" s="339"/>
      <x:c r="L41" s="339"/>
      <x:c r="M41" s="339"/>
      <x:c r="N41" s="339"/>
      <x:c r="O41" s="339"/>
      <x:c r="P41" s="339"/>
      <x:c r="Q41" s="339"/>
      <x:c r="R41" s="339"/>
      <x:c r="S41" s="339"/>
      <x:c r="T41" s="339"/>
      <x:c r="U41" s="339"/>
      <x:c r="V41" s="339"/>
      <x:c r="W41" s="339"/>
      <x:c r="X41" s="339"/>
      <x:c r="Y41" s="339"/>
      <x:c r="Z41" s="339"/>
    </x:row>
    <x:row r="42">
      <x:c r="A42" s="28" t="str">
        <x:v>National</x:v>
      </x:c>
      <x:c r="B42" s="28" t="str">
        <x:v>National persistence / attribution factor</x:v>
      </x:c>
      <x:c r="C42" s="28" t="str">
        <x:v>%</x:v>
      </x:c>
      <x:c r="D42" s="54" t="n">
        <x:v>0.4</x:v>
      </x:c>
      <x:c r="E42" s="54" t="n">
        <x:v>0.6</x:v>
      </x:c>
      <x:c r="F42" s="54" t="n">
        <x:v>0.75</x:v>
      </x:c>
      <x:c r="G42" s="28" t="str">
        <x:v>S04;S05</x:v>
      </x:c>
      <x:c r="H42" s="28" t="str">
        <x:v>Scenario only</x:v>
      </x:c>
      <x:c r="I42" s="28" t="str">
        <x:v>Reduces modelled cases to those plausibly sustained and attributable.</x:v>
      </x:c>
      <x:c r="J42" s="339"/>
      <x:c r="K42" s="339"/>
      <x:c r="L42" s="339"/>
      <x:c r="M42" s="339"/>
      <x:c r="N42" s="339"/>
      <x:c r="O42" s="339"/>
      <x:c r="P42" s="339"/>
      <x:c r="Q42" s="339"/>
      <x:c r="R42" s="339"/>
      <x:c r="S42" s="339"/>
      <x:c r="T42" s="339"/>
      <x:c r="U42" s="339"/>
      <x:c r="V42" s="339"/>
      <x:c r="W42" s="339"/>
      <x:c r="X42" s="339"/>
      <x:c r="Y42" s="339"/>
      <x:c r="Z42" s="339"/>
    </x:row>
    <x:row r="43">
      <x:c r="A43" s="28" t="str">
        <x:v>National</x:v>
      </x:c>
      <x:c r="B43" s="28" t="str">
        <x:v>Benefit realisation / overlap haircut</x:v>
      </x:c>
      <x:c r="C43" s="28" t="str">
        <x:v>%</x:v>
      </x:c>
      <x:c r="D43" s="54" t="n">
        <x:v>0.6</x:v>
      </x:c>
      <x:c r="E43" s="54" t="n">
        <x:v>0.75</x:v>
      </x:c>
      <x:c r="F43" s="54" t="n">
        <x:v>0.85</x:v>
      </x:c>
      <x:c r="G43" s="28" t="str">
        <x:v>S04;S05</x:v>
      </x:c>
      <x:c r="H43" s="28" t="str">
        <x:v>Scenario only</x:v>
      </x:c>
      <x:c r="I43" s="28" t="str">
        <x:v>Applied to prevent full-value claims where evidence and overlap remain uncertain.</x:v>
      </x:c>
      <x:c r="J43" s="339"/>
      <x:c r="K43" s="339"/>
      <x:c r="L43" s="339"/>
      <x:c r="M43" s="339"/>
      <x:c r="N43" s="339"/>
      <x:c r="O43" s="339"/>
      <x:c r="P43" s="339"/>
      <x:c r="Q43" s="339"/>
      <x:c r="R43" s="339"/>
      <x:c r="S43" s="339"/>
      <x:c r="T43" s="339"/>
      <x:c r="U43" s="339"/>
      <x:c r="V43" s="339"/>
      <x:c r="W43" s="339"/>
      <x:c r="X43" s="339"/>
      <x:c r="Y43" s="339"/>
      <x:c r="Z43" s="339"/>
    </x:row>
    <x:row r="44">
      <x:c r="A44" s="62" t="str">
        <x:v>Pacheco &amp; Dye</x:v>
      </x:c>
      <x:c r="B44" s="62" t="str">
        <x:v>Short-term productivity loss per NEET case (2012 NZD)</x:v>
      </x:c>
      <x:c r="C44" s="58" t="str">
        <x:v>NZD/case</x:v>
      </x:c>
      <x:c r="D44" s="64" t="n">
        <x:v>15414</x:v>
      </x:c>
      <x:c r="E44" s="64" t="n">
        <x:v>15414</x:v>
      </x:c>
      <x:c r="F44" s="64" t="n">
        <x:v>15414</x:v>
      </x:c>
      <x:c r="G44" s="58" t="str">
        <x:v>S02</x:v>
      </x:c>
      <x:c r="H44" s="58" t="str">
        <x:v>Published estimate</x:v>
      </x:c>
      <x:c r="I44" s="58" t="str">
        <x:v>Foregone wages/productivity over the next 1–3 years.</x:v>
      </x:c>
      <x:c r="J44" s="339"/>
      <x:c r="K44" s="339"/>
      <x:c r="L44" s="339"/>
      <x:c r="M44" s="339"/>
      <x:c r="N44" s="339"/>
      <x:c r="O44" s="339"/>
      <x:c r="P44" s="339"/>
      <x:c r="Q44" s="339"/>
      <x:c r="R44" s="339"/>
      <x:c r="S44" s="339"/>
      <x:c r="T44" s="339"/>
      <x:c r="U44" s="339"/>
      <x:c r="V44" s="339"/>
      <x:c r="W44" s="339"/>
      <x:c r="X44" s="339"/>
      <x:c r="Y44" s="339"/>
      <x:c r="Z44" s="339"/>
    </x:row>
    <x:row r="45">
      <x:c r="A45" s="28" t="str">
        <x:v>Pacheco &amp; Dye</x:v>
      </x:c>
      <x:c r="B45" s="28" t="str">
        <x:v>Short-term public-finance cost per NEET case (2012 NZD)</x:v>
      </x:c>
      <x:c r="C45" s="28" t="str">
        <x:v>NZD/case</x:v>
      </x:c>
      <x:c r="D45" s="48" t="n">
        <x:v>11433</x:v>
      </x:c>
      <x:c r="E45" s="48" t="n">
        <x:v>11433</x:v>
      </x:c>
      <x:c r="F45" s="48" t="n">
        <x:v>11433</x:v>
      </x:c>
      <x:c r="G45" s="28" t="str">
        <x:v>S02</x:v>
      </x:c>
      <x:c r="H45" s="28" t="str">
        <x:v>Published estimate</x:v>
      </x:c>
      <x:c r="I45" s="28" t="str">
        <x:v>Public-finance component over the next 1–3 years.</x:v>
      </x:c>
      <x:c r="J45" s="339"/>
      <x:c r="K45" s="339"/>
      <x:c r="L45" s="339"/>
      <x:c r="M45" s="339"/>
      <x:c r="N45" s="339"/>
      <x:c r="O45" s="339"/>
      <x:c r="P45" s="339"/>
      <x:c r="Q45" s="339"/>
      <x:c r="R45" s="339"/>
      <x:c r="S45" s="339"/>
      <x:c r="T45" s="339"/>
      <x:c r="U45" s="339"/>
      <x:c r="V45" s="339"/>
      <x:c r="W45" s="339"/>
      <x:c r="X45" s="339"/>
      <x:c r="Y45" s="339"/>
      <x:c r="Z45" s="339"/>
    </x:row>
    <x:row r="46">
      <x:c r="A46" s="28" t="str">
        <x:v>Pacheco &amp; Dye</x:v>
      </x:c>
      <x:c r="B46" s="28" t="str">
        <x:v>Short-term total cost per NEET case (2012 NZD)</x:v>
      </x:c>
      <x:c r="C46" s="28" t="str">
        <x:v>NZD/case</x:v>
      </x:c>
      <x:c r="D46" s="48" t="n">
        <x:v>26847</x:v>
      </x:c>
      <x:c r="E46" s="48" t="n">
        <x:v>26847</x:v>
      </x:c>
      <x:c r="F46" s="48" t="n">
        <x:v>26847</x:v>
      </x:c>
      <x:c r="G46" s="28" t="str">
        <x:v>S02</x:v>
      </x:c>
      <x:c r="H46" s="28" t="str">
        <x:v>Published estimate</x:v>
      </x:c>
      <x:c r="I46" s="28" t="str">
        <x:v>Productivity plus public-finance cost.</x:v>
      </x:c>
      <x:c r="J46" s="339"/>
      <x:c r="K46" s="339"/>
      <x:c r="L46" s="339"/>
      <x:c r="M46" s="339"/>
      <x:c r="N46" s="339"/>
      <x:c r="O46" s="339"/>
      <x:c r="P46" s="339"/>
      <x:c r="Q46" s="339"/>
      <x:c r="R46" s="339"/>
      <x:c r="S46" s="339"/>
      <x:c r="T46" s="339"/>
      <x:c r="U46" s="339"/>
      <x:c r="V46" s="339"/>
      <x:c r="W46" s="339"/>
      <x:c r="X46" s="339"/>
      <x:c r="Y46" s="339"/>
      <x:c r="Z46" s="339"/>
    </x:row>
    <x:row r="47">
      <x:c r="A47" s="28" t="str">
        <x:v>Pacheco &amp; Dye</x:v>
      </x:c>
      <x:c r="B47" s="28" t="str">
        <x:v>Illustrative lifetime multiplier</x:v>
      </x:c>
      <x:c r="C47" s="28" t="str">
        <x:v>x</x:v>
      </x:c>
      <x:c r="D47" s="50" t="n">
        <x:v>9.6</x:v>
      </x:c>
      <x:c r="E47" s="50" t="n">
        <x:v>9.6</x:v>
      </x:c>
      <x:c r="F47" s="50" t="n">
        <x:v>9.6</x:v>
      </x:c>
      <x:c r="G47" s="28" t="str">
        <x:v>S02</x:v>
      </x:c>
      <x:c r="H47" s="28" t="str">
        <x:v>Low confidence</x:v>
      </x:c>
      <x:c r="I47" s="28" t="str">
        <x:v>Borrowed from a UK study; Pacheco &amp; Dye explicitly called for a New Zealand-specific multiplier.</x:v>
      </x:c>
      <x:c r="J47" s="339"/>
      <x:c r="K47" s="339"/>
      <x:c r="L47" s="339"/>
      <x:c r="M47" s="339"/>
      <x:c r="N47" s="339"/>
      <x:c r="O47" s="339"/>
      <x:c r="P47" s="339"/>
      <x:c r="Q47" s="339"/>
      <x:c r="R47" s="339"/>
      <x:c r="S47" s="339"/>
      <x:c r="T47" s="339"/>
      <x:c r="U47" s="339"/>
      <x:c r="V47" s="339"/>
      <x:c r="W47" s="339"/>
      <x:c r="X47" s="339"/>
      <x:c r="Y47" s="339"/>
      <x:c r="Z47" s="339"/>
    </x:row>
    <x:row r="48">
      <x:c r="A48" s="62" t="str">
        <x:v>CBAx optional</x:v>
      </x:c>
      <x:c r="B48" s="62" t="str">
        <x:v>Jobseeker Support — single 20–24 (current value)</x:v>
      </x:c>
      <x:c r="C48" s="58" t="str">
        <x:v>NZD/person/year</x:v>
      </x:c>
      <x:c r="D48" s="64" t="n">
        <x:v>17167</x:v>
      </x:c>
      <x:c r="E48" s="64" t="n">
        <x:v>17167</x:v>
      </x:c>
      <x:c r="F48" s="64" t="n">
        <x:v>17167</x:v>
      </x:c>
      <x:c r="G48" s="58" t="str">
        <x:v>S21</x:v>
      </x:c>
      <x:c r="H48" s="58" t="str">
        <x:v>Official CBAx value</x:v>
      </x:c>
      <x:c r="I48" s="58" t="str">
        <x:v>Excluded from headline benefits because Pacheco public-finance costs already capture related welfare/tax effects.</x:v>
      </x:c>
      <x:c r="J48" s="339"/>
      <x:c r="K48" s="339"/>
      <x:c r="L48" s="339"/>
      <x:c r="M48" s="339"/>
      <x:c r="N48" s="339"/>
      <x:c r="O48" s="339"/>
      <x:c r="P48" s="339"/>
      <x:c r="Q48" s="339"/>
      <x:c r="R48" s="339"/>
      <x:c r="S48" s="339"/>
      <x:c r="T48" s="339"/>
      <x:c r="U48" s="339"/>
      <x:c r="V48" s="339"/>
      <x:c r="W48" s="339"/>
      <x:c r="X48" s="339"/>
      <x:c r="Y48" s="339"/>
      <x:c r="Z48" s="339"/>
    </x:row>
    <x:row r="49">
      <x:c r="A49" s="28" t="str">
        <x:v>CBAx optional</x:v>
      </x:c>
      <x:c r="B49" s="28" t="str">
        <x:v>Marginal tax/ACC value: no qualification to upper-secondary</x:v>
      </x:c>
      <x:c r="C49" s="28" t="str">
        <x:v>NZD/person/year</x:v>
      </x:c>
      <x:c r="D49" s="48" t="n">
        <x:v>123</x:v>
      </x:c>
      <x:c r="E49" s="48" t="n">
        <x:v>123</x:v>
      </x:c>
      <x:c r="F49" s="48" t="n">
        <x:v>123</x:v>
      </x:c>
      <x:c r="G49" s="28" t="str">
        <x:v>S21</x:v>
      </x:c>
      <x:c r="H49" s="28" t="str">
        <x:v>Official CBAx value</x:v>
      </x:c>
      <x:c r="I49" s="28" t="str">
        <x:v>Excluded from headline benefits; small and potentially overlapping.</x:v>
      </x:c>
      <x:c r="J49" s="339"/>
      <x:c r="K49" s="339"/>
      <x:c r="L49" s="339"/>
      <x:c r="M49" s="339"/>
      <x:c r="N49" s="339"/>
      <x:c r="O49" s="339"/>
      <x:c r="P49" s="339"/>
      <x:c r="Q49" s="339"/>
      <x:c r="R49" s="339"/>
      <x:c r="S49" s="339"/>
      <x:c r="T49" s="339"/>
      <x:c r="U49" s="339"/>
      <x:c r="V49" s="339"/>
      <x:c r="W49" s="339"/>
      <x:c r="X49" s="339"/>
      <x:c r="Y49" s="339"/>
      <x:c r="Z49" s="339"/>
    </x:row>
    <x:row r="50">
      <x:c r="A50" s="28" t="str">
        <x:v>CBAx optional</x:v>
      </x:c>
      <x:c r="B50" s="28" t="str">
        <x:v>Marginal cost of sentenced inmate</x:v>
      </x:c>
      <x:c r="C50" s="28" t="str">
        <x:v>NZD/person/year</x:v>
      </x:c>
      <x:c r="D50" s="48" t="n">
        <x:v>211350</x:v>
      </x:c>
      <x:c r="E50" s="48" t="n">
        <x:v>211350</x:v>
      </x:c>
      <x:c r="F50" s="48" t="n">
        <x:v>211350</x:v>
      </x:c>
      <x:c r="G50" s="28" t="str">
        <x:v>S21</x:v>
      </x:c>
      <x:c r="H50" s="28" t="str">
        <x:v>Official CBAx value</x:v>
      </x:c>
      <x:c r="I50" s="28" t="str">
        <x:v>Excluded from headline benefits; requires credible causal change in custody and overlap controls.</x:v>
      </x:c>
      <x:c r="J50" s="339"/>
      <x:c r="K50" s="339"/>
      <x:c r="L50" s="339"/>
      <x:c r="M50" s="339"/>
      <x:c r="N50" s="339"/>
      <x:c r="O50" s="339"/>
      <x:c r="P50" s="339"/>
      <x:c r="Q50" s="339"/>
      <x:c r="R50" s="339"/>
      <x:c r="S50" s="339"/>
      <x:c r="T50" s="339"/>
      <x:c r="U50" s="339"/>
      <x:c r="V50" s="339"/>
      <x:c r="W50" s="339"/>
      <x:c r="X50" s="339"/>
      <x:c r="Y50" s="339"/>
      <x:c r="Z50" s="339"/>
    </x:row>
    <x:row r="51">
      <x:c r="A51" s="28" t="str">
        <x:v>CBAx optional</x:v>
      </x:c>
      <x:c r="B51" s="28" t="str">
        <x:v>Low-risk youth diversion response</x:v>
      </x:c>
      <x:c r="C51" s="28" t="str">
        <x:v>NZD/incident</x:v>
      </x:c>
      <x:c r="D51" s="48" t="n">
        <x:v>4638</x:v>
      </x:c>
      <x:c r="E51" s="48" t="n">
        <x:v>4638</x:v>
      </x:c>
      <x:c r="F51" s="48" t="n">
        <x:v>4638</x:v>
      </x:c>
      <x:c r="G51" s="28" t="str">
        <x:v>S21</x:v>
      </x:c>
      <x:c r="H51" s="28" t="str">
        <x:v>Official CBAx value</x:v>
      </x:c>
      <x:c r="I51" s="28" t="str">
        <x:v>Excluded from headline benefits; causal incidence not established.</x:v>
      </x:c>
      <x:c r="J51" s="339"/>
      <x:c r="K51" s="339"/>
      <x:c r="L51" s="339"/>
      <x:c r="M51" s="339"/>
      <x:c r="N51" s="339"/>
      <x:c r="O51" s="339"/>
      <x:c r="P51" s="339"/>
      <x:c r="Q51" s="339"/>
      <x:c r="R51" s="339"/>
      <x:c r="S51" s="339"/>
      <x:c r="T51" s="339"/>
      <x:c r="U51" s="339"/>
      <x:c r="V51" s="339"/>
      <x:c r="W51" s="339"/>
      <x:c r="X51" s="339"/>
      <x:c r="Y51" s="339"/>
      <x:c r="Z51" s="339"/>
    </x:row>
    <x:row r="52">
      <x:c r="A52" s="28" t="str">
        <x:v>CBAx optional</x:v>
      </x:c>
      <x:c r="B52" s="28" t="str">
        <x:v>Cost per hour of police time</x:v>
      </x:c>
      <x:c r="C52" s="28" t="str">
        <x:v>NZD/hour</x:v>
      </x:c>
      <x:c r="D52" s="48" t="n">
        <x:v>152</x:v>
      </x:c>
      <x:c r="E52" s="48" t="n">
        <x:v>152</x:v>
      </x:c>
      <x:c r="F52" s="48" t="n">
        <x:v>152</x:v>
      </x:c>
      <x:c r="G52" s="28" t="str">
        <x:v>S21</x:v>
      </x:c>
      <x:c r="H52" s="28" t="str">
        <x:v>Official CBAx value</x:v>
      </x:c>
      <x:c r="I52" s="28" t="str">
        <x:v>Excluded from headline benefits.</x:v>
      </x:c>
      <x:c r="J52" s="339"/>
      <x:c r="K52" s="339"/>
      <x:c r="L52" s="339"/>
      <x:c r="M52" s="339"/>
      <x:c r="N52" s="339"/>
      <x:c r="O52" s="339"/>
      <x:c r="P52" s="339"/>
      <x:c r="Q52" s="339"/>
      <x:c r="R52" s="339"/>
      <x:c r="S52" s="339"/>
      <x:c r="T52" s="339"/>
      <x:c r="U52" s="339"/>
      <x:c r="V52" s="339"/>
      <x:c r="W52" s="339"/>
      <x:c r="X52" s="339"/>
      <x:c r="Y52" s="339"/>
      <x:c r="Z52" s="339"/>
    </x:row>
    <x:row r="53">
      <x:c r="A53" s="1101" t="str">
        <x:v>General</x:v>
      </x:c>
      <x:c r="B53" s="1101" t="str">
        <x:v>Intermediate analytical sensitivity discount rate</x:v>
      </x:c>
      <x:c r="C53" s="1101" t="str">
        <x:v>%</x:v>
      </x:c>
      <x:c r="D53" s="1105" t="n">
        <x:v>0.04</x:v>
      </x:c>
      <x:c r="E53" s="1105" t="n">
        <x:v>0.04</x:v>
      </x:c>
      <x:c r="F53" s="1105" t="n">
        <x:v>0.04</x:v>
      </x:c>
      <x:c r="G53" s="1107" t="str">
        <x:v>S48</x:v>
      </x:c>
      <x:c r="H53" s="1106" t="str">
        <x:v>Analytical sensitivity</x:v>
      </x:c>
      <x:c r="I53" s="1106" t="str">
        <x:v>4% real is retained only as an intermediate analytical sensitivity.</x:v>
      </x:c>
      <x:c r="J53" s="339"/>
      <x:c r="K53" s="339"/>
      <x:c r="L53" s="339"/>
      <x:c r="M53" s="339"/>
      <x:c r="N53" s="339"/>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498" t="str">
        <x:v>Learning Capital</x:v>
      </x:c>
      <x:c r="B55" s="498" t="str">
        <x:v>Learning Capital Account share</x:v>
      </x:c>
      <x:c r="C55" s="496" t="str">
        <x:v>% of payment</x:v>
      </x:c>
      <x:c r="D55" s="497" t="n">
        <x:v>0.5</x:v>
      </x:c>
      <x:c r="E55" s="497" t="n">
        <x:v>0.5</x:v>
      </x:c>
      <x:c r="F55" s="497" t="n">
        <x:v>0.5</x:v>
      </x:c>
      <x:c r="G55" s="496" t="str">
        <x:v>S01</x:v>
      </x:c>
      <x:c r="H55" s="496" t="str">
        <x:v>Policy specification</x:v>
      </x:c>
      <x:c r="I55" s="496" t="str">
        <x:v>Deposited into a protected, individually attributed account; not unrestricted cash at age 18.</x:v>
      </x:c>
      <x:c r="J55" s="339"/>
      <x:c r="K55" s="339"/>
      <x:c r="L55" s="339"/>
      <x:c r="M55" s="339"/>
      <x:c r="N55" s="339"/>
      <x:c r="O55" s="339"/>
      <x:c r="P55" s="339"/>
      <x:c r="Q55" s="339"/>
      <x:c r="R55" s="339"/>
      <x:c r="S55" s="339"/>
      <x:c r="T55" s="339"/>
      <x:c r="U55" s="339"/>
      <x:c r="V55" s="339"/>
      <x:c r="W55" s="339"/>
      <x:c r="X55" s="339"/>
      <x:c r="Y55" s="339"/>
      <x:c r="Z55" s="339"/>
    </x:row>
    <x:row r="56">
      <x:c r="A56" s="28" t="str">
        <x:v>Learning Capital</x:v>
      </x:c>
      <x:c r="B56" s="28" t="str">
        <x:v>Contribution years per participant</x:v>
      </x:c>
      <x:c r="C56" s="28" t="str">
        <x:v>years</x:v>
      </x:c>
      <x:c r="D56" s="492" t="n">
        <x:v>5</x:v>
      </x:c>
      <x:c r="E56" s="492" t="n">
        <x:v>5</x:v>
      </x:c>
      <x:c r="F56" s="492" t="n">
        <x:v>5</x:v>
      </x:c>
      <x:c r="G56" s="28" t="str">
        <x:v>S01</x:v>
      </x:c>
      <x:c r="H56" s="28" t="str">
        <x:v>Policy specification</x:v>
      </x:c>
      <x:c r="I56" s="28" t="str">
        <x:v>Central secondary-school participation horizon.</x:v>
      </x:c>
      <x:c r="J56" s="339"/>
      <x:c r="K56" s="339"/>
      <x:c r="L56" s="339"/>
      <x:c r="M56" s="339"/>
      <x:c r="N56" s="339"/>
      <x:c r="O56" s="339"/>
      <x:c r="P56" s="339"/>
      <x:c r="Q56" s="339"/>
      <x:c r="R56" s="339"/>
      <x:c r="S56" s="339"/>
      <x:c r="T56" s="339"/>
      <x:c r="U56" s="339"/>
      <x:c r="V56" s="339"/>
      <x:c r="W56" s="339"/>
      <x:c r="X56" s="339"/>
      <x:c r="Y56" s="339"/>
      <x:c r="Z56" s="339"/>
    </x:row>
    <x:row r="57">
      <x:c r="A57" s="28" t="str">
        <x:v>Learning Capital</x:v>
      </x:c>
      <x:c r="B57" s="28" t="str">
        <x:v>Gross nominal investment return</x:v>
      </x:c>
      <x:c r="C57" s="28" t="str">
        <x:v>%</x:v>
      </x:c>
      <x:c r="D57" s="493" t="n">
        <x:v>0.027</x:v>
      </x:c>
      <x:c r="E57" s="493" t="n">
        <x:v>0.0525</x:v>
      </x:c>
      <x:c r="F57" s="493" t="n">
        <x:v>0.079</x:v>
      </x:c>
      <x:c r="G57" s="28" t="str">
        <x:v>A08</x:v>
      </x:c>
      <x:c r="H57" s="28" t="str">
        <x:v>Scenario assumption</x:v>
      </x:c>
      <x:c r="I57" s="28" t="str">
        <x:v>Transparent gross-return scenario before investment fees and effective tax drag.</x:v>
      </x:c>
      <x:c r="J57" s="339"/>
      <x:c r="K57" s="339"/>
      <x:c r="L57" s="339"/>
      <x:c r="M57" s="339"/>
      <x:c r="N57" s="339"/>
      <x:c r="O57" s="339"/>
      <x:c r="P57" s="339"/>
      <x:c r="Q57" s="339"/>
      <x:c r="R57" s="339"/>
      <x:c r="S57" s="339"/>
      <x:c r="T57" s="339"/>
      <x:c r="U57" s="339"/>
      <x:c r="V57" s="339"/>
      <x:c r="W57" s="339"/>
      <x:c r="X57" s="339"/>
      <x:c r="Y57" s="339"/>
      <x:c r="Z57" s="339"/>
    </x:row>
    <x:row r="58">
      <x:c r="A58" s="28" t="str">
        <x:v>Learning Capital</x:v>
      </x:c>
      <x:c r="B58" s="28" t="str">
        <x:v>Investment management and custody fee</x:v>
      </x:c>
      <x:c r="C58" s="28" t="str">
        <x:v>% of AUM</x:v>
      </x:c>
      <x:c r="D58" s="493" t="n">
        <x:v>0.004</x:v>
      </x:c>
      <x:c r="E58" s="493" t="n">
        <x:v>0.005</x:v>
      </x:c>
      <x:c r="F58" s="493" t="n">
        <x:v>0.007</x:v>
      </x:c>
      <x:c r="G58" s="28" t="str">
        <x:v>S29;S30;A09</x:v>
      </x:c>
      <x:c r="H58" s="28" t="str">
        <x:v>Quote required</x:v>
      </x:c>
      <x:c r="I58" s="28" t="str">
        <x:v>Regulated, low-fee, competitively procured provider structure; no provider is endorsed.</x:v>
      </x:c>
      <x:c r="J58" s="339"/>
      <x:c r="K58" s="339"/>
      <x:c r="L58" s="339"/>
      <x:c r="M58" s="339"/>
      <x:c r="N58" s="339"/>
      <x:c r="O58" s="339"/>
      <x:c r="P58" s="339"/>
      <x:c r="Q58" s="339"/>
      <x:c r="R58" s="339"/>
      <x:c r="S58" s="339"/>
      <x:c r="T58" s="339"/>
      <x:c r="U58" s="339"/>
      <x:c r="V58" s="339"/>
      <x:c r="W58" s="339"/>
      <x:c r="X58" s="339"/>
      <x:c r="Y58" s="339"/>
      <x:c r="Z58" s="339"/>
    </x:row>
    <x:row r="59">
      <x:c r="A59" s="28" t="str">
        <x:v>Learning Capital</x:v>
      </x:c>
      <x:c r="B59" s="28" t="str">
        <x:v>Effective investment tax drag</x:v>
      </x:c>
      <x:c r="C59" s="28" t="str">
        <x:v>% of AUM</x:v>
      </x:c>
      <x:c r="D59" s="493" t="n">
        <x:v>0.003</x:v>
      </x:c>
      <x:c r="E59" s="493" t="n">
        <x:v>0.0075</x:v>
      </x:c>
      <x:c r="F59" s="493" t="n">
        <x:v>0.012</x:v>
      </x:c>
      <x:c r="G59" s="28" t="str">
        <x:v>S28;A10</x:v>
      </x:c>
      <x:c r="H59" s="28" t="str">
        <x:v>Legal/tax advice required</x:v>
      </x:c>
      <x:c r="I59" s="28" t="str">
        <x:v>A modelling drag, not a statutory tax rate; actual treatment depends on legal and beneficial ownership.</x:v>
      </x:c>
      <x:c r="J59" s="339"/>
      <x:c r="K59" s="339"/>
      <x:c r="L59" s="339"/>
      <x:c r="M59" s="339"/>
      <x:c r="N59" s="339"/>
      <x:c r="O59" s="339"/>
      <x:c r="P59" s="339"/>
      <x:c r="Q59" s="339"/>
      <x:c r="R59" s="339"/>
      <x:c r="S59" s="339"/>
      <x:c r="T59" s="339"/>
      <x:c r="U59" s="339"/>
      <x:c r="V59" s="339"/>
      <x:c r="W59" s="339"/>
      <x:c r="X59" s="339"/>
      <x:c r="Y59" s="339"/>
      <x:c r="Z59" s="339"/>
    </x:row>
    <x:row r="60">
      <x:c r="A60" s="28" t="str">
        <x:v>Learning Capital</x:v>
      </x:c>
      <x:c r="B60" s="28" t="str">
        <x:v>Net nominal investment return</x:v>
      </x:c>
      <x:c r="C60" s="28" t="str">
        <x:v>%</x:v>
      </x:c>
      <x:c r="D60" s="493" t="n">
        <x:v>0.02</x:v>
      </x:c>
      <x:c r="E60" s="493" t="n">
        <x:v>0.04</x:v>
      </x:c>
      <x:c r="F60" s="493" t="n">
        <x:v>0.06</x:v>
      </x:c>
      <x:c r="G60" s="28" t="str">
        <x:v>A08</x:v>
      </x:c>
      <x:c r="H60" s="28" t="str">
        <x:v>Scenario assumption</x:v>
      </x:c>
      <x:c r="I60" s="28" t="str">
        <x:v>Gross return less modelled fees and tax drag. Returns are uncertain and are not guaranteed.</x:v>
      </x:c>
      <x:c r="J60" s="339"/>
      <x:c r="K60" s="339"/>
      <x:c r="L60" s="339"/>
      <x:c r="M60" s="339"/>
      <x:c r="N60" s="339"/>
      <x:c r="O60" s="339"/>
      <x:c r="P60" s="339"/>
      <x:c r="Q60" s="339"/>
      <x:c r="R60" s="339"/>
      <x:c r="S60" s="339"/>
      <x:c r="T60" s="339"/>
      <x:c r="U60" s="339"/>
      <x:c r="V60" s="339"/>
      <x:c r="W60" s="339"/>
      <x:c r="X60" s="339"/>
      <x:c r="Y60" s="339"/>
      <x:c r="Z60" s="339"/>
    </x:row>
    <x:row r="61">
      <x:c r="A61" s="28" t="str">
        <x:v>Learning Capital</x:v>
      </x:c>
      <x:c r="B61" s="28" t="str">
        <x:v>Lifecycle de-risking reduction — Year 4</x:v>
      </x:c>
      <x:c r="C61" s="28" t="str">
        <x:v>percentage points</x:v>
      </x:c>
      <x:c r="D61" s="493" t="n">
        <x:v>0.0025</x:v>
      </x:c>
      <x:c r="E61" s="493" t="n">
        <x:v>0.005</x:v>
      </x:c>
      <x:c r="F61" s="493" t="n">
        <x:v>0.0075</x:v>
      </x:c>
      <x:c r="G61" s="28" t="str">
        <x:v>A08</x:v>
      </x:c>
      <x:c r="H61" s="28" t="str">
        <x:v>Scenario assumption</x:v>
      </x:c>
      <x:c r="I61" s="28" t="str">
        <x:v>Return assumption is reduced as expected withdrawal approaches.</x:v>
      </x:c>
      <x:c r="J61" s="339"/>
      <x:c r="K61" s="339"/>
      <x:c r="L61" s="339"/>
      <x:c r="M61" s="339"/>
      <x:c r="N61" s="339"/>
      <x:c r="O61" s="339"/>
      <x:c r="P61" s="339"/>
      <x:c r="Q61" s="339"/>
      <x:c r="R61" s="339"/>
      <x:c r="S61" s="339"/>
      <x:c r="T61" s="339"/>
      <x:c r="U61" s="339"/>
      <x:c r="V61" s="339"/>
      <x:c r="W61" s="339"/>
      <x:c r="X61" s="339"/>
      <x:c r="Y61" s="339"/>
      <x:c r="Z61" s="339"/>
    </x:row>
    <x:row r="62">
      <x:c r="A62" s="28" t="str">
        <x:v>Learning Capital</x:v>
      </x:c>
      <x:c r="B62" s="28" t="str">
        <x:v>Lifecycle de-risking reduction — Year 5</x:v>
      </x:c>
      <x:c r="C62" s="28" t="str">
        <x:v>percentage points</x:v>
      </x:c>
      <x:c r="D62" s="493" t="n">
        <x:v>0.005</x:v>
      </x:c>
      <x:c r="E62" s="493" t="n">
        <x:v>0.01</x:v>
      </x:c>
      <x:c r="F62" s="493" t="n">
        <x:v>0.015</x:v>
      </x:c>
      <x:c r="G62" s="28" t="str">
        <x:v>A08</x:v>
      </x:c>
      <x:c r="H62" s="28" t="str">
        <x:v>Scenario assumption</x:v>
      </x:c>
      <x:c r="I62" s="28" t="str">
        <x:v>Return assumption is reduced further in the final accumulation year.</x:v>
      </x:c>
      <x:c r="J62" s="339"/>
      <x:c r="K62" s="339"/>
      <x:c r="L62" s="339"/>
      <x:c r="M62" s="339"/>
      <x:c r="N62" s="339"/>
      <x:c r="O62" s="339"/>
      <x:c r="P62" s="339"/>
      <x:c r="Q62" s="339"/>
      <x:c r="R62" s="339"/>
      <x:c r="S62" s="339"/>
      <x:c r="T62" s="339"/>
      <x:c r="U62" s="339"/>
      <x:c r="V62" s="339"/>
      <x:c r="W62" s="339"/>
      <x:c r="X62" s="339"/>
      <x:c r="Y62" s="339"/>
      <x:c r="Z62" s="339"/>
    </x:row>
    <x:row r="63">
      <x:c r="A63" s="28" t="str">
        <x:v>Learning Capital</x:v>
      </x:c>
      <x:c r="B63" s="28" t="str">
        <x:v>Annual account administration cost</x:v>
      </x:c>
      <x:c r="C63" s="28" t="str">
        <x:v>NZD/account/year</x:v>
      </x:c>
      <x:c r="D63" s="494" t="n">
        <x:v>20</x:v>
      </x:c>
      <x:c r="E63" s="494" t="n">
        <x:v>25</x:v>
      </x:c>
      <x:c r="F63" s="494" t="n">
        <x:v>35</x:v>
      </x:c>
      <x:c r="G63" s="28" t="str">
        <x:v>A09;A15</x:v>
      </x:c>
      <x:c r="H63" s="28" t="str">
        <x:v>Quote required</x:v>
      </x:c>
      <x:c r="I63" s="28" t="str">
        <x:v>Crown-funded operational allowance; investment fee drag is modelled separately.</x:v>
      </x:c>
      <x:c r="J63" s="339"/>
      <x:c r="K63" s="339"/>
      <x:c r="L63" s="339"/>
      <x:c r="M63" s="339"/>
      <x:c r="N63" s="339"/>
      <x:c r="O63" s="339"/>
      <x:c r="P63" s="339"/>
      <x:c r="Q63" s="339"/>
      <x:c r="R63" s="339"/>
      <x:c r="S63" s="339"/>
      <x:c r="T63" s="339"/>
      <x:c r="U63" s="339"/>
      <x:c r="V63" s="339"/>
      <x:c r="W63" s="339"/>
      <x:c r="X63" s="339"/>
      <x:c r="Y63" s="339"/>
      <x:c r="Z63" s="339"/>
    </x:row>
    <x:row r="64">
      <x:c r="A64" s="28" t="str">
        <x:v>Learning Capital</x:v>
      </x:c>
      <x:c r="B64" s="28" t="str">
        <x:v>Relevant education or apprenticeship expense</x:v>
      </x:c>
      <x:c r="C64" s="28" t="str">
        <x:v>NZD/person</x:v>
      </x:c>
      <x:c r="D64" s="494" t="n">
        <x:v>15000</x:v>
      </x:c>
      <x:c r="E64" s="494" t="n">
        <x:v>25000</x:v>
      </x:c>
      <x:c r="F64" s="494" t="n">
        <x:v>35000</x:v>
      </x:c>
      <x:c r="G64" s="28" t="str">
        <x:v>A14</x:v>
      </x:c>
      <x:c r="H64" s="28" t="str">
        <x:v>Scenario assumption</x:v>
      </x:c>
      <x:c r="I64" s="28" t="str">
        <x:v>Approved study, training, occupational licensing, tools, equipment and recognised microcredentials.</x:v>
      </x:c>
      <x:c r="J64" s="339"/>
      <x:c r="K64" s="339"/>
      <x:c r="L64" s="339"/>
      <x:c r="M64" s="339"/>
      <x:c r="N64" s="339"/>
      <x:c r="O64" s="339"/>
      <x:c r="P64" s="339"/>
      <x:c r="Q64" s="339"/>
      <x:c r="R64" s="339"/>
      <x:c r="S64" s="339"/>
      <x:c r="T64" s="339"/>
      <x:c r="U64" s="339"/>
      <x:c r="V64" s="339"/>
      <x:c r="W64" s="339"/>
      <x:c r="X64" s="339"/>
      <x:c r="Y64" s="339"/>
      <x:c r="Z64" s="339"/>
    </x:row>
    <x:row r="65">
      <x:c r="A65" s="28" t="str">
        <x:v>Learning Capital</x:v>
      </x:c>
      <x:c r="B65" s="28" t="str">
        <x:v>Unused-balance approved-use age limit</x:v>
      </x:c>
      <x:c r="C65" s="28" t="str">
        <x:v>age</x:v>
      </x:c>
      <x:c r="D65" s="495" t="n">
        <x:v>23</x:v>
      </x:c>
      <x:c r="E65" s="495" t="n">
        <x:v>25</x:v>
      </x:c>
      <x:c r="F65" s="495" t="n">
        <x:v>27</x:v>
      </x:c>
      <x:c r="G65" s="28" t="str">
        <x:v>A15</x:v>
      </x:c>
      <x:c r="H65" s="28" t="str">
        <x:v>Policy and legal decision</x:v>
      </x:c>
      <x:c r="I65" s="28" t="str">
        <x:v>Any later transfer to KiwiSaver or another protected asset requires legal and accounting analysis.</x:v>
      </x:c>
      <x:c r="J65" s="339"/>
      <x:c r="K65" s="339"/>
      <x:c r="L65" s="339"/>
      <x:c r="M65" s="339"/>
      <x:c r="N65" s="339"/>
      <x:c r="O65" s="339"/>
      <x:c r="P65" s="339"/>
      <x:c r="Q65" s="339"/>
      <x:c r="R65" s="339"/>
      <x:c r="S65" s="339"/>
      <x:c r="T65" s="339"/>
      <x:c r="U65" s="339"/>
      <x:c r="V65" s="339"/>
      <x:c r="W65" s="339"/>
      <x:c r="X65" s="339"/>
      <x:c r="Y65" s="339"/>
      <x:c r="Z65" s="339"/>
    </x:row>
    <x:row r="66">
      <x:c r="A66" s="28" t="str">
        <x:v>Learning Capital</x:v>
      </x:c>
      <x:c r="B66" s="28" t="str">
        <x:v>Market-downturn return in final year</x:v>
      </x:c>
      <x:c r="C66" s="28" t="str">
        <x:v>%</x:v>
      </x:c>
      <x:c r="D66" s="493" t="n">
        <x:v>-0.05</x:v>
      </x:c>
      <x:c r="E66" s="493" t="n">
        <x:v>-0.1</x:v>
      </x:c>
      <x:c r="F66" s="493" t="n">
        <x:v>-0.2</x:v>
      </x:c>
      <x:c r="G66" s="28" t="str">
        <x:v>A08</x:v>
      </x:c>
      <x:c r="H66" s="28" t="str">
        <x:v>Sensitivity only</x:v>
      </x:c>
      <x:c r="I66" s="28" t="str">
        <x:v>Illustrates market loss near withdrawal; not included in the central case.</x:v>
      </x:c>
      <x:c r="J66" s="339"/>
      <x:c r="K66" s="339"/>
      <x:c r="L66" s="339"/>
      <x:c r="M66" s="339"/>
      <x:c r="N66" s="339"/>
      <x:c r="O66" s="339"/>
      <x:c r="P66" s="339"/>
      <x:c r="Q66" s="339"/>
      <x:c r="R66" s="339"/>
      <x:c r="S66" s="339"/>
      <x:c r="T66" s="339"/>
      <x:c r="U66" s="339"/>
      <x:c r="V66" s="339"/>
      <x:c r="W66" s="339"/>
      <x:c r="X66" s="339"/>
      <x:c r="Y66" s="339"/>
      <x:c r="Z66" s="339"/>
    </x:row>
    <x:row r="67">
      <x:c r="A67" s="28" t="str">
        <x:v>Learning Capital</x:v>
      </x:c>
      <x:c r="B67" s="28" t="str">
        <x:v>Apprenticeship completion tranche</x:v>
      </x:c>
      <x:c r="C67" s="28" t="str">
        <x:v>% of apprenticeship balance</x:v>
      </x:c>
      <x:c r="D67" s="493" t="n">
        <x:v>0.1</x:v>
      </x:c>
      <x:c r="E67" s="493" t="n">
        <x:v>0.15</x:v>
      </x:c>
      <x:c r="F67" s="493" t="n">
        <x:v>0.2</x:v>
      </x:c>
      <x:c r="G67" s="28" t="str">
        <x:v>A14</x:v>
      </x:c>
      <x:c r="H67" s="28" t="str">
        <x:v>Scenario assumption</x:v>
      </x:c>
      <x:c r="I67" s="28" t="str">
        <x:v>Remaining releases occur at verified apprenticeship stages.</x:v>
      </x:c>
      <x:c r="J67" s="339"/>
      <x:c r="K67" s="339"/>
      <x:c r="L67" s="339"/>
      <x:c r="M67" s="339"/>
      <x:c r="N67" s="339"/>
      <x:c r="O67" s="339"/>
      <x:c r="P67" s="339"/>
      <x:c r="Q67" s="339"/>
      <x:c r="R67" s="339"/>
      <x:c r="S67" s="339"/>
      <x:c r="T67" s="339"/>
      <x:c r="U67" s="339"/>
      <x:c r="V67" s="339"/>
      <x:c r="W67" s="339"/>
      <x:c r="X67" s="339"/>
      <x:c r="Y67" s="339"/>
      <x:c r="Z67" s="339"/>
    </x:row>
    <x:row r="68">
      <x:c r="A68" s="498" t="str">
        <x:v>Student Loan</x:v>
      </x:c>
      <x:c r="B68" s="498" t="str">
        <x:v>Audited median student-loan balance</x:v>
      </x:c>
      <x:c r="C68" s="496" t="str">
        <x:v>NZD/borrower</x:v>
      </x:c>
      <x:c r="D68" s="499" t="n">
        <x:v>17557</x:v>
      </x:c>
      <x:c r="E68" s="499" t="n">
        <x:v>17557</x:v>
      </x:c>
      <x:c r="F68" s="499" t="n">
        <x:v>17557</x:v>
      </x:c>
      <x:c r="G68" s="496" t="str">
        <x:v>S24</x:v>
      </x:c>
      <x:c r="H68" s="496" t="str">
        <x:v>Official audited report</x:v>
      </x:c>
      <x:c r="I68" s="496" t="str">
        <x:v>Balance at 30 June 2025; used as the principal debt-displacement comparator.</x:v>
      </x:c>
      <x:c r="J68" s="339"/>
      <x:c r="K68" s="339"/>
      <x:c r="L68" s="339"/>
      <x:c r="M68" s="339"/>
      <x:c r="N68" s="339"/>
      <x:c r="O68" s="339"/>
      <x:c r="P68" s="339"/>
      <x:c r="Q68" s="339"/>
      <x:c r="R68" s="339"/>
      <x:c r="S68" s="339"/>
      <x:c r="T68" s="339"/>
      <x:c r="U68" s="339"/>
      <x:c r="V68" s="339"/>
      <x:c r="W68" s="339"/>
      <x:c r="X68" s="339"/>
      <x:c r="Y68" s="339"/>
      <x:c r="Z68" s="339"/>
    </x:row>
    <x:row r="69">
      <x:c r="A69" s="28" t="str">
        <x:v>Student Loan</x:v>
      </x:c>
      <x:c r="B69" s="28" t="str">
        <x:v>Quarterly median student-loan balance</x:v>
      </x:c>
      <x:c r="C69" s="28" t="str">
        <x:v>NZD/borrower</x:v>
      </x:c>
      <x:c r="D69" s="48" t="n">
        <x:v>18302</x:v>
      </x:c>
      <x:c r="E69" s="48" t="n">
        <x:v>18302</x:v>
      </x:c>
      <x:c r="F69" s="48" t="n">
        <x:v>18302</x:v>
      </x:c>
      <x:c r="G69" s="28" t="str">
        <x:v>S33</x:v>
      </x:c>
      <x:c r="H69" s="28" t="str">
        <x:v>Official quarterly statistic</x:v>
      </x:c>
      <x:c r="I69" s="28" t="str">
        <x:v>March 2026 context; not substituted for the audited annual-report anchor.</x:v>
      </x:c>
      <x:c r="J69" s="339"/>
      <x:c r="K69" s="339"/>
      <x:c r="L69" s="339"/>
      <x:c r="M69" s="339"/>
      <x:c r="N69" s="339"/>
      <x:c r="O69" s="339"/>
      <x:c r="P69" s="339"/>
      <x:c r="Q69" s="339"/>
      <x:c r="R69" s="339"/>
      <x:c r="S69" s="339"/>
      <x:c r="T69" s="339"/>
      <x:c r="U69" s="339"/>
      <x:c r="V69" s="339"/>
      <x:c r="W69" s="339"/>
      <x:c r="X69" s="339"/>
      <x:c r="Y69" s="339"/>
      <x:c r="Z69" s="339"/>
    </x:row>
    <x:row r="70">
      <x:c r="A70" s="28" t="str">
        <x:v>Student Loan</x:v>
      </x:c>
      <x:c r="B70" s="28" t="str">
        <x:v>Tertiary-entry probability</x:v>
      </x:c>
      <x:c r="C70" s="28" t="str">
        <x:v>% of participants</x:v>
      </x:c>
      <x:c r="D70" s="493" t="n">
        <x:v>0.45</x:v>
      </x:c>
      <x:c r="E70" s="493" t="n">
        <x:v>0.55</x:v>
      </x:c>
      <x:c r="F70" s="493" t="n">
        <x:v>0.65</x:v>
      </x:c>
      <x:c r="G70" s="28" t="str">
        <x:v>A11</x:v>
      </x:c>
      <x:c r="H70" s="28" t="str">
        <x:v>Unsupported scenario</x:v>
      </x:c>
      <x:c r="I70" s="28" t="str">
        <x:v>Must be estimated for the target cohort using linked data and pilot follow-up.</x:v>
      </x:c>
      <x:c r="J70" s="339"/>
      <x:c r="K70" s="339"/>
      <x:c r="L70" s="339"/>
      <x:c r="M70" s="339"/>
      <x:c r="N70" s="339"/>
      <x:c r="O70" s="339"/>
      <x:c r="P70" s="339"/>
      <x:c r="Q70" s="339"/>
      <x:c r="R70" s="339"/>
      <x:c r="S70" s="339"/>
      <x:c r="T70" s="339"/>
      <x:c r="U70" s="339"/>
      <x:c r="V70" s="339"/>
      <x:c r="W70" s="339"/>
      <x:c r="X70" s="339"/>
      <x:c r="Y70" s="339"/>
      <x:c r="Z70" s="339"/>
    </x:row>
    <x:row r="71">
      <x:c r="A71" s="28" t="str">
        <x:v>Student Loan</x:v>
      </x:c>
      <x:c r="B71" s="28" t="str">
        <x:v>Apprenticeship-entry probability</x:v>
      </x:c>
      <x:c r="C71" s="28" t="str">
        <x:v>% of participants</x:v>
      </x:c>
      <x:c r="D71" s="493" t="n">
        <x:v>0.08</x:v>
      </x:c>
      <x:c r="E71" s="493" t="n">
        <x:v>0.12</x:v>
      </x:c>
      <x:c r="F71" s="493" t="n">
        <x:v>0.15</x:v>
      </x:c>
      <x:c r="G71" s="28" t="str">
        <x:v>A11</x:v>
      </x:c>
      <x:c r="H71" s="28" t="str">
        <x:v>Unsupported scenario</x:v>
      </x:c>
      <x:c r="I71" s="28" t="str">
        <x:v>Includes workplace-based pathways expected to use approved account withdrawals.</x:v>
      </x:c>
      <x:c r="J71" s="339"/>
      <x:c r="K71" s="339"/>
      <x:c r="L71" s="339"/>
      <x:c r="M71" s="339"/>
      <x:c r="N71" s="339"/>
      <x:c r="O71" s="339"/>
      <x:c r="P71" s="339"/>
      <x:c r="Q71" s="339"/>
      <x:c r="R71" s="339"/>
      <x:c r="S71" s="339"/>
      <x:c r="T71" s="339"/>
      <x:c r="U71" s="339"/>
      <x:c r="V71" s="339"/>
      <x:c r="W71" s="339"/>
      <x:c r="X71" s="339"/>
      <x:c r="Y71" s="339"/>
      <x:c r="Z71" s="339"/>
    </x:row>
    <x:row r="72">
      <x:c r="A72" s="28" t="str">
        <x:v>Student Loan</x:v>
      </x:c>
      <x:c r="B72" s="28" t="str">
        <x:v>Account utilisation for approved learning</x:v>
      </x:c>
      <x:c r="C72" s="28" t="str">
        <x:v>% of eligible balance</x:v>
      </x:c>
      <x:c r="D72" s="493" t="n">
        <x:v>0.65</x:v>
      </x:c>
      <x:c r="E72" s="493" t="n">
        <x:v>0.8</x:v>
      </x:c>
      <x:c r="F72" s="493" t="n">
        <x:v>0.9</x:v>
      </x:c>
      <x:c r="G72" s="28" t="str">
        <x:v>A13</x:v>
      </x:c>
      <x:c r="H72" s="28" t="str">
        <x:v>Unsupported scenario</x:v>
      </x:c>
      <x:c r="I72" s="28" t="str">
        <x:v>Requires participant behaviour and provider-payment evidence.</x:v>
      </x:c>
      <x:c r="J72" s="339"/>
      <x:c r="K72" s="339"/>
      <x:c r="L72" s="339"/>
      <x:c r="M72" s="339"/>
      <x:c r="N72" s="339"/>
      <x:c r="O72" s="339"/>
      <x:c r="P72" s="339"/>
      <x:c r="Q72" s="339"/>
      <x:c r="R72" s="339"/>
      <x:c r="S72" s="339"/>
      <x:c r="T72" s="339"/>
      <x:c r="U72" s="339"/>
      <x:c r="V72" s="339"/>
      <x:c r="W72" s="339"/>
      <x:c r="X72" s="339"/>
      <x:c r="Y72" s="339"/>
      <x:c r="Z72" s="339"/>
    </x:row>
    <x:row r="73">
      <x:c r="A73" s="28" t="str">
        <x:v>Student Loan</x:v>
      </x:c>
      <x:c r="B73" s="28" t="str">
        <x:v>Counterfactual student-loan borrowing probability</x:v>
      </x:c>
      <x:c r="C73" s="28" t="str">
        <x:v>% of approved withdrawal</x:v>
      </x:c>
      <x:c r="D73" s="493" t="n">
        <x:v>0.45</x:v>
      </x:c>
      <x:c r="E73" s="493" t="n">
        <x:v>0.6</x:v>
      </x:c>
      <x:c r="F73" s="493" t="n">
        <x:v>0.75</x:v>
      </x:c>
      <x:c r="G73" s="28" t="str">
        <x:v>A12</x:v>
      </x:c>
      <x:c r="H73" s="28" t="str">
        <x:v>Unsupported scenario</x:v>
      </x:c>
      <x:c r="I73" s="28" t="str">
        <x:v>Probability that the expense would otherwise have been financed through the Student Loan Scheme.</x:v>
      </x:c>
      <x:c r="J73" s="339"/>
      <x:c r="K73" s="339"/>
      <x:c r="L73" s="339"/>
      <x:c r="M73" s="339"/>
      <x:c r="N73" s="339"/>
      <x:c r="O73" s="339"/>
      <x:c r="P73" s="339"/>
      <x:c r="Q73" s="339"/>
      <x:c r="R73" s="339"/>
      <x:c r="S73" s="339"/>
      <x:c r="T73" s="339"/>
      <x:c r="U73" s="339"/>
      <x:c r="V73" s="339"/>
      <x:c r="W73" s="339"/>
      <x:c r="X73" s="339"/>
      <x:c r="Y73" s="339"/>
      <x:c r="Z73" s="339"/>
    </x:row>
    <x:row r="74">
      <x:c r="A74" s="28" t="str">
        <x:v>Student Loan</x:v>
      </x:c>
      <x:c r="B74" s="28" t="str">
        <x:v>Borrowing-displacement factor</x:v>
      </x:c>
      <x:c r="C74" s="28" t="str">
        <x:v>% of counterfactual borrowing</x:v>
      </x:c>
      <x:c r="D74" s="493" t="n">
        <x:v>0.6</x:v>
      </x:c>
      <x:c r="E74" s="493" t="n">
        <x:v>0.8</x:v>
      </x:c>
      <x:c r="F74" s="493" t="n">
        <x:v>0.95</x:v>
      </x:c>
      <x:c r="G74" s="28" t="str">
        <x:v>A12</x:v>
      </x:c>
      <x:c r="H74" s="28" t="str">
        <x:v>Unsupported scenario</x:v>
      </x:c>
      <x:c r="I74" s="28" t="str">
        <x:v>Allows for withdrawals replacing family contributions, savings or additional study rather than borrowing.</x:v>
      </x:c>
      <x:c r="J74" s="339"/>
      <x:c r="K74" s="339"/>
      <x:c r="L74" s="339"/>
      <x:c r="M74" s="339"/>
      <x:c r="N74" s="339"/>
      <x:c r="O74" s="339"/>
      <x:c r="P74" s="339"/>
      <x:c r="Q74" s="339"/>
      <x:c r="R74" s="339"/>
      <x:c r="S74" s="339"/>
      <x:c r="T74" s="339"/>
      <x:c r="U74" s="339"/>
      <x:c r="V74" s="339"/>
      <x:c r="W74" s="339"/>
      <x:c r="X74" s="339"/>
      <x:c r="Y74" s="339"/>
      <x:c r="Z74" s="339"/>
    </x:row>
    <x:row r="75">
      <x:c r="A75" s="28" t="str">
        <x:v>Student Loan</x:v>
      </x:c>
      <x:c r="B75" s="28" t="str">
        <x:v>Withdrawal replacing family or personal savings</x:v>
      </x:c>
      <x:c r="C75" s="28" t="str">
        <x:v>% of withdrawal</x:v>
      </x:c>
      <x:c r="D75" s="493" t="n">
        <x:v>0.25</x:v>
      </x:c>
      <x:c r="E75" s="493" t="n">
        <x:v>0.15</x:v>
      </x:c>
      <x:c r="F75" s="493" t="n">
        <x:v>0.05</x:v>
      </x:c>
      <x:c r="G75" s="28" t="str">
        <x:v>A12</x:v>
      </x:c>
      <x:c r="H75" s="28" t="str">
        <x:v>Unsupported scenario</x:v>
      </x:c>
      <x:c r="I75" s="28" t="str">
        <x:v>Alternative funding source; not a Crown saving.</x:v>
      </x:c>
      <x:c r="J75" s="339"/>
      <x:c r="K75" s="339"/>
      <x:c r="L75" s="339"/>
      <x:c r="M75" s="339"/>
      <x:c r="N75" s="339"/>
      <x:c r="O75" s="339"/>
      <x:c r="P75" s="339"/>
      <x:c r="Q75" s="339"/>
      <x:c r="R75" s="339"/>
      <x:c r="S75" s="339"/>
      <x:c r="T75" s="339"/>
      <x:c r="U75" s="339"/>
      <x:c r="V75" s="339"/>
      <x:c r="W75" s="339"/>
      <x:c r="X75" s="339"/>
      <x:c r="Y75" s="339"/>
      <x:c r="Z75" s="339"/>
    </x:row>
    <x:row r="76">
      <x:c r="A76" s="28" t="str">
        <x:v>Student Loan</x:v>
      </x:c>
      <x:c r="B76" s="28" t="str">
        <x:v>Withdrawal enabling additional study</x:v>
      </x:c>
      <x:c r="C76" s="28" t="str">
        <x:v>% of entrants</x:v>
      </x:c>
      <x:c r="D76" s="493" t="n">
        <x:v>0.05</x:v>
      </x:c>
      <x:c r="E76" s="493" t="n">
        <x:v>0.1</x:v>
      </x:c>
      <x:c r="F76" s="493" t="n">
        <x:v>0.15</x:v>
      </x:c>
      <x:c r="G76" s="28" t="str">
        <x:v>A12</x:v>
      </x:c>
      <x:c r="H76" s="28" t="str">
        <x:v>Unsupported scenario</x:v>
      </x:c>
      <x:c r="I76" s="28" t="str">
        <x:v>May generate benefits but can also create additional tertiary-system fiscal costs.</x:v>
      </x:c>
      <x:c r="J76" s="339"/>
      <x:c r="K76" s="339"/>
      <x:c r="L76" s="339"/>
      <x:c r="M76" s="339"/>
      <x:c r="N76" s="339"/>
      <x:c r="O76" s="339"/>
      <x:c r="P76" s="339"/>
      <x:c r="Q76" s="339"/>
      <x:c r="R76" s="339"/>
      <x:c r="S76" s="339"/>
      <x:c r="T76" s="339"/>
      <x:c r="U76" s="339"/>
      <x:c r="V76" s="339"/>
      <x:c r="W76" s="339"/>
      <x:c r="X76" s="339"/>
      <x:c r="Y76" s="339"/>
      <x:c r="Z76" s="339"/>
    </x:row>
    <x:row r="77">
      <x:c r="A77" s="28" t="str">
        <x:v>Student Loan</x:v>
      </x:c>
      <x:c r="B77" s="28" t="str">
        <x:v>Representative repayment duration</x:v>
      </x:c>
      <x:c r="C77" s="28" t="str">
        <x:v>years</x:v>
      </x:c>
      <x:c r="D77" s="492" t="n">
        <x:v>5.5</x:v>
      </x:c>
      <x:c r="E77" s="492" t="n">
        <x:v>6.5</x:v>
      </x:c>
      <x:c r="F77" s="492" t="n">
        <x:v>8</x:v>
      </x:c>
      <x:c r="G77" s="28" t="str">
        <x:v>S24</x:v>
      </x:c>
      <x:c r="H77" s="28" t="str">
        <x:v>Official benchmark plus scenario</x:v>
      </x:c>
      <x:c r="I77" s="28" t="str">
        <x:v>Central value sits within audited forecast repayment-time ranges.</x:v>
      </x:c>
      <x:c r="J77" s="339"/>
      <x:c r="K77" s="339"/>
      <x:c r="L77" s="339"/>
      <x:c r="M77" s="339"/>
      <x:c r="N77" s="339"/>
      <x:c r="O77" s="339"/>
      <x:c r="P77" s="339"/>
      <x:c r="Q77" s="339"/>
      <x:c r="R77" s="339"/>
      <x:c r="S77" s="339"/>
      <x:c r="T77" s="339"/>
      <x:c r="U77" s="339"/>
      <x:c r="V77" s="339"/>
      <x:c r="W77" s="339"/>
      <x:c r="X77" s="339"/>
      <x:c r="Y77" s="339"/>
      <x:c r="Z77" s="339"/>
    </x:row>
    <x:row r="78">
      <x:c r="A78" s="28" t="str">
        <x:v>Student Loan</x:v>
      </x:c>
      <x:c r="B78" s="28" t="str">
        <x:v>Overseas-based borrower proportion</x:v>
      </x:c>
      <x:c r="C78" s="28" t="str">
        <x:v>% of borrowers</x:v>
      </x:c>
      <x:c r="D78" s="491" t="n">
        <x:v>0.12</x:v>
      </x:c>
      <x:c r="E78" s="491" t="n">
        <x:v>0.1817</x:v>
      </x:c>
      <x:c r="F78" s="491" t="n">
        <x:v>0.25</x:v>
      </x:c>
      <x:c r="G78" s="28" t="str">
        <x:v>S24</x:v>
      </x:c>
      <x:c r="H78" s="28" t="str">
        <x:v>Official anchor plus sensitivity</x:v>
      </x:c>
      <x:c r="I78" s="28" t="str">
        <x:v>Annual report borrower-location mix; used only for an overseas-interest sensitivity.</x:v>
      </x:c>
      <x:c r="J78" s="339"/>
      <x:c r="K78" s="339"/>
      <x:c r="L78" s="339"/>
      <x:c r="M78" s="339"/>
      <x:c r="N78" s="339"/>
      <x:c r="O78" s="339"/>
      <x:c r="P78" s="339"/>
      <x:c r="Q78" s="339"/>
      <x:c r="R78" s="339"/>
      <x:c r="S78" s="339"/>
      <x:c r="T78" s="339"/>
      <x:c r="U78" s="339"/>
      <x:c r="V78" s="339"/>
      <x:c r="W78" s="339"/>
      <x:c r="X78" s="339"/>
      <x:c r="Y78" s="339"/>
      <x:c r="Z78" s="339"/>
    </x:row>
    <x:row r="79">
      <x:c r="A79" s="28" t="str">
        <x:v>Student Loan</x:v>
      </x:c>
      <x:c r="B79" s="28" t="str">
        <x:v>Overseas-borrower interest rate</x:v>
      </x:c>
      <x:c r="C79" s="28" t="str">
        <x:v>%</x:v>
      </x:c>
      <x:c r="D79" s="491" t="n">
        <x:v>0.048</x:v>
      </x:c>
      <x:c r="E79" s="491" t="n">
        <x:v>0.057</x:v>
      </x:c>
      <x:c r="F79" s="491" t="n">
        <x:v>0.067</x:v>
      </x:c>
      <x:c r="G79" s="28" t="str">
        <x:v>S24</x:v>
      </x:c>
      <x:c r="H79" s="28" t="str">
        <x:v>Official range plus midpoint</x:v>
      </x:c>
      <x:c r="I79" s="28" t="str">
        <x:v>Separate borrower sensitivity; domestic loans are ordinarily interest-free while eligibility conditions are met.</x:v>
      </x:c>
      <x:c r="J79" s="339"/>
      <x:c r="K79" s="339"/>
      <x:c r="L79" s="339"/>
      <x:c r="M79" s="339"/>
      <x:c r="N79" s="339"/>
      <x:c r="O79" s="339"/>
      <x:c r="P79" s="339"/>
      <x:c r="Q79" s="339"/>
      <x:c r="R79" s="339"/>
      <x:c r="S79" s="339"/>
      <x:c r="T79" s="339"/>
      <x:c r="U79" s="339"/>
      <x:c r="V79" s="339"/>
      <x:c r="W79" s="339"/>
      <x:c r="X79" s="339"/>
      <x:c r="Y79" s="339"/>
      <x:c r="Z79" s="339"/>
    </x:row>
    <x:row r="80">
      <x:c r="A80" s="28" t="str">
        <x:v>Student Loan</x:v>
      </x:c>
      <x:c r="B80" s="28" t="str">
        <x:v>Initial fair-value cost per dollar lent</x:v>
      </x:c>
      <x:c r="C80" s="28" t="str">
        <x:v>%</x:v>
      </x:c>
      <x:c r="D80" s="491" t="n">
        <x:v>0.3424</x:v>
      </x:c>
      <x:c r="E80" s="491" t="n">
        <x:v>0.3424</x:v>
      </x:c>
      <x:c r="F80" s="491" t="n">
        <x:v>0.3424</x:v>
      </x:c>
      <x:c r="G80" s="28" t="str">
        <x:v>S24</x:v>
      </x:c>
      <x:c r="H80" s="28" t="str">
        <x:v>Official audited measure</x:v>
      </x:c>
      <x:c r="I80" s="28" t="str">
        <x:v>Central Crown origination view; do not add to overlapping discount or inflation views.</x:v>
      </x:c>
      <x:c r="J80" s="339"/>
      <x:c r="K80" s="339"/>
      <x:c r="L80" s="339"/>
      <x:c r="M80" s="339"/>
      <x:c r="N80" s="339"/>
      <x:c r="O80" s="339"/>
      <x:c r="P80" s="339"/>
      <x:c r="Q80" s="339"/>
      <x:c r="R80" s="339"/>
      <x:c r="S80" s="339"/>
      <x:c r="T80" s="339"/>
      <x:c r="U80" s="339"/>
      <x:c r="V80" s="339"/>
      <x:c r="W80" s="339"/>
      <x:c r="X80" s="339"/>
      <x:c r="Y80" s="339"/>
      <x:c r="Z80" s="339"/>
    </x:row>
    <x:row r="81">
      <x:c r="A81" s="28" t="str">
        <x:v>Student Loan</x:v>
      </x:c>
      <x:c r="B81" s="28" t="str">
        <x:v>Gross new lending — 2024/25</x:v>
      </x:c>
      <x:c r="C81" s="28" t="str">
        <x:v>NZD</x:v>
      </x:c>
      <x:c r="D81" s="48" t="n">
        <x:v>1709000000</x:v>
      </x:c>
      <x:c r="E81" s="48" t="n">
        <x:v>1709000000</x:v>
      </x:c>
      <x:c r="F81" s="48" t="n">
        <x:v>1709000000</x:v>
      </x:c>
      <x:c r="G81" s="28" t="str">
        <x:v>S24</x:v>
      </x:c>
      <x:c r="H81" s="28" t="str">
        <x:v>Official audited measure</x:v>
      </x:c>
      <x:c r="I81" s="28" t="str">
        <x:v>Net of refunded course fees and including the establishment fee.</x:v>
      </x:c>
      <x:c r="J81" s="339"/>
      <x:c r="K81" s="339"/>
      <x:c r="L81" s="339"/>
      <x:c r="M81" s="339"/>
      <x:c r="N81" s="339"/>
      <x:c r="O81" s="339"/>
      <x:c r="P81" s="339"/>
      <x:c r="Q81" s="339"/>
      <x:c r="R81" s="339"/>
      <x:c r="S81" s="339"/>
      <x:c r="T81" s="339"/>
      <x:c r="U81" s="339"/>
      <x:c r="V81" s="339"/>
      <x:c r="W81" s="339"/>
      <x:c r="X81" s="339"/>
      <x:c r="Y81" s="339"/>
      <x:c r="Z81" s="339"/>
    </x:row>
    <x:row r="82">
      <x:c r="A82" s="28" t="str">
        <x:v>Student Loan</x:v>
      </x:c>
      <x:c r="B82" s="28" t="str">
        <x:v>Initial fair-value write-down — 2024/25</x:v>
      </x:c>
      <x:c r="C82" s="28" t="str">
        <x:v>NZD</x:v>
      </x:c>
      <x:c r="D82" s="48" t="n">
        <x:v>585000000</x:v>
      </x:c>
      <x:c r="E82" s="48" t="n">
        <x:v>585000000</x:v>
      </x:c>
      <x:c r="F82" s="48" t="n">
        <x:v>585000000</x:v>
      </x:c>
      <x:c r="G82" s="28" t="str">
        <x:v>S24</x:v>
      </x:c>
      <x:c r="H82" s="28" t="str">
        <x:v>Official audited measure</x:v>
      </x:c>
      <x:c r="I82" s="28" t="str">
        <x:v>Recognised when lending originated.</x:v>
      </x:c>
      <x:c r="J82" s="339"/>
      <x:c r="K82" s="339"/>
      <x:c r="L82" s="339"/>
      <x:c r="M82" s="339"/>
      <x:c r="N82" s="339"/>
      <x:c r="O82" s="339"/>
      <x:c r="P82" s="339"/>
      <x:c r="Q82" s="339"/>
      <x:c r="R82" s="339"/>
      <x:c r="S82" s="339"/>
      <x:c r="T82" s="339"/>
      <x:c r="U82" s="339"/>
      <x:c r="V82" s="339"/>
      <x:c r="W82" s="339"/>
      <x:c r="X82" s="339"/>
      <x:c r="Y82" s="339"/>
      <x:c r="Z82" s="339"/>
    </x:row>
    <x:row r="83">
      <x:c r="A83" s="28" t="str">
        <x:v>Student Loan</x:v>
      </x:c>
      <x:c r="B83" s="28" t="str">
        <x:v>Student-loan asset fair value</x:v>
      </x:c>
      <x:c r="C83" s="28" t="str">
        <x:v>NZD</x:v>
      </x:c>
      <x:c r="D83" s="48" t="n">
        <x:v>10054000000</x:v>
      </x:c>
      <x:c r="E83" s="48" t="n">
        <x:v>10054000000</x:v>
      </x:c>
      <x:c r="F83" s="48" t="n">
        <x:v>10054000000</x:v>
      </x:c>
      <x:c r="G83" s="28" t="str">
        <x:v>S24;S25</x:v>
      </x:c>
      <x:c r="H83" s="28" t="str">
        <x:v>Official audited measure</x:v>
      </x:c>
      <x:c r="I83" s="28" t="str">
        <x:v>At 30 June 2025.</x:v>
      </x:c>
      <x:c r="J83" s="339"/>
      <x:c r="K83" s="339"/>
      <x:c r="L83" s="339"/>
      <x:c r="M83" s="339"/>
      <x:c r="N83" s="339"/>
      <x:c r="O83" s="339"/>
      <x:c r="P83" s="339"/>
      <x:c r="Q83" s="339"/>
      <x:c r="R83" s="339"/>
      <x:c r="S83" s="339"/>
      <x:c r="T83" s="339"/>
      <x:c r="U83" s="339"/>
      <x:c r="V83" s="339"/>
      <x:c r="W83" s="339"/>
      <x:c r="X83" s="339"/>
      <x:c r="Y83" s="339"/>
      <x:c r="Z83" s="339"/>
    </x:row>
    <x:row r="84">
      <x:c r="A84" s="28" t="str">
        <x:v>Student Loan</x:v>
      </x:c>
      <x:c r="B84" s="28" t="str">
        <x:v>Representative student-loan discount rate incl. expenses</x:v>
      </x:c>
      <x:c r="C84" s="28" t="str">
        <x:v>%</x:v>
      </x:c>
      <x:c r="D84" s="491" t="n">
        <x:v>0.0567</x:v>
      </x:c>
      <x:c r="E84" s="491" t="n">
        <x:v>0.0567</x:v>
      </x:c>
      <x:c r="F84" s="491" t="n">
        <x:v>0.0567</x:v>
      </x:c>
      <x:c r="G84" s="28" t="str">
        <x:v>S24;S25</x:v>
      </x:c>
      <x:c r="H84" s="28" t="str">
        <x:v>Official audited measure</x:v>
      </x:c>
      <x:c r="I84" s="28" t="str">
        <x:v>4.42% representative risk-free rate + 0.79% risk adjustment + 0.46% collection/administration.</x:v>
      </x:c>
      <x:c r="J84" s="339"/>
      <x:c r="K84" s="339"/>
      <x:c r="L84" s="339"/>
      <x:c r="M84" s="339"/>
      <x:c r="N84" s="339"/>
      <x:c r="O84" s="339"/>
      <x:c r="P84" s="339"/>
      <x:c r="Q84" s="339"/>
      <x:c r="R84" s="339"/>
      <x:c r="S84" s="339"/>
      <x:c r="T84" s="339"/>
      <x:c r="U84" s="339"/>
      <x:c r="V84" s="339"/>
      <x:c r="W84" s="339"/>
      <x:c r="X84" s="339"/>
      <x:c r="Y84" s="339"/>
      <x:c r="Z84" s="339"/>
    </x:row>
    <x:row r="85">
      <x:c r="A85" s="28" t="str">
        <x:v>Student Loan</x:v>
      </x:c>
      <x:c r="B85" s="28" t="str">
        <x:v>Annual Crown cost of ownership — 2025/26</x:v>
      </x:c>
      <x:c r="C85" s="28" t="str">
        <x:v>NZD</x:v>
      </x:c>
      <x:c r="D85" s="48" t="n">
        <x:v>544000000</x:v>
      </x:c>
      <x:c r="E85" s="48" t="n">
        <x:v>544000000</x:v>
      </x:c>
      <x:c r="F85" s="48" t="n">
        <x:v>544000000</x:v>
      </x:c>
      <x:c r="G85" s="28" t="str">
        <x:v>S24</x:v>
      </x:c>
      <x:c r="H85" s="28" t="str">
        <x:v>Official estimate</x:v>
      </x:c>
      <x:c r="I85" s="28" t="str">
        <x:v>A carrying-cost view; not additive to the origination fair-value cost.</x:v>
      </x:c>
      <x:c r="J85" s="339"/>
      <x:c r="K85" s="339"/>
      <x:c r="L85" s="339"/>
      <x:c r="M85" s="339"/>
      <x:c r="N85" s="339"/>
      <x:c r="O85" s="339"/>
      <x:c r="P85" s="339"/>
      <x:c r="Q85" s="339"/>
      <x:c r="R85" s="339"/>
      <x:c r="S85" s="339"/>
      <x:c r="T85" s="339"/>
      <x:c r="U85" s="339"/>
      <x:c r="V85" s="339"/>
      <x:c r="W85" s="339"/>
      <x:c r="X85" s="339"/>
      <x:c r="Y85" s="339"/>
      <x:c r="Z85" s="339"/>
    </x:row>
    <x:row r="86">
      <x:c r="A86" s="28" t="str">
        <x:v>Student Loan</x:v>
      </x:c>
      <x:c r="B86" s="28" t="str">
        <x:v>Student-loan valuation risk adjustment</x:v>
      </x:c>
      <x:c r="C86" s="28" t="str">
        <x:v>%</x:v>
      </x:c>
      <x:c r="D86" s="491" t="n">
        <x:v>0.0079</x:v>
      </x:c>
      <x:c r="E86" s="491" t="n">
        <x:v>0.0079</x:v>
      </x:c>
      <x:c r="F86" s="491" t="n">
        <x:v>0.0079</x:v>
      </x:c>
      <x:c r="G86" s="28" t="str">
        <x:v>S24;S25</x:v>
      </x:c>
      <x:c r="H86" s="28" t="str">
        <x:v>Official audited measure</x:v>
      </x:c>
      <x:c r="I86" s="28" t="str">
        <x:v>Added to Treasury risk-free rates within the actuarial valuation.</x:v>
      </x:c>
      <x:c r="J86" s="339"/>
      <x:c r="K86" s="339"/>
      <x:c r="L86" s="339"/>
      <x:c r="M86" s="339"/>
      <x:c r="N86" s="339"/>
      <x:c r="O86" s="339"/>
      <x:c r="P86" s="339"/>
      <x:c r="Q86" s="339"/>
      <x:c r="R86" s="339"/>
      <x:c r="S86" s="339"/>
      <x:c r="T86" s="339"/>
      <x:c r="U86" s="339"/>
      <x:c r="V86" s="339"/>
      <x:c r="W86" s="339"/>
      <x:c r="X86" s="339"/>
      <x:c r="Y86" s="339"/>
      <x:c r="Z86" s="339"/>
    </x:row>
    <x:row r="87">
      <x:c r="A87" s="28" t="str">
        <x:v>Student Loan</x:v>
      </x:c>
      <x:c r="B87" s="28" t="str">
        <x:v>Student-loan collection and administration allowance</x:v>
      </x:c>
      <x:c r="C87" s="28" t="str">
        <x:v>%</x:v>
      </x:c>
      <x:c r="D87" s="491" t="n">
        <x:v>0.0046</x:v>
      </x:c>
      <x:c r="E87" s="491" t="n">
        <x:v>0.0046</x:v>
      </x:c>
      <x:c r="F87" s="491" t="n">
        <x:v>0.0046</x:v>
      </x:c>
      <x:c r="G87" s="28" t="str">
        <x:v>S24</x:v>
      </x:c>
      <x:c r="H87" s="28" t="str">
        <x:v>Official audited measure</x:v>
      </x:c>
      <x:c r="I87" s="28" t="str">
        <x:v>Included in the representative 5.67% rate.</x:v>
      </x:c>
      <x:c r="J87" s="339"/>
      <x:c r="K87" s="339"/>
      <x:c r="L87" s="339"/>
      <x:c r="M87" s="339"/>
      <x:c r="N87" s="339"/>
      <x:c r="O87" s="339"/>
      <x:c r="P87" s="339"/>
      <x:c r="Q87" s="339"/>
      <x:c r="R87" s="339"/>
      <x:c r="S87" s="339"/>
      <x:c r="T87" s="339"/>
      <x:c r="U87" s="339"/>
      <x:c r="V87" s="339"/>
      <x:c r="W87" s="339"/>
      <x:c r="X87" s="339"/>
      <x:c r="Y87" s="339"/>
      <x:c r="Z87" s="339"/>
    </x:row>
    <x:row r="88">
      <x:c r="A88" s="28" t="str">
        <x:v>Student Loan</x:v>
      </x:c>
      <x:c r="B88" s="28" t="str">
        <x:v>Marginal administration saving per complete loan avoided</x:v>
      </x:c>
      <x:c r="C88" s="28" t="str">
        <x:v>NZD/loan</x:v>
      </x:c>
      <x:c r="D88" s="494" t="n">
        <x:v>0</x:v>
      </x:c>
      <x:c r="E88" s="494" t="n">
        <x:v>0</x:v>
      </x:c>
      <x:c r="F88" s="494" t="n">
        <x:v>0</x:v>
      </x:c>
      <x:c r="G88" s="28" t="str">
        <x:v>A12</x:v>
      </x:c>
      <x:c r="H88" s="28" t="str">
        <x:v>Unsupported — zero central</x:v>
      </x:c>
      <x:c r="I88" s="28" t="str">
        <x:v>No defensible marginal cost per complete loan has been identified.</x:v>
      </x:c>
      <x:c r="J88" s="339"/>
      <x:c r="K88" s="339"/>
      <x:c r="L88" s="339"/>
      <x:c r="M88" s="339"/>
      <x:c r="N88" s="339"/>
      <x:c r="O88" s="339"/>
      <x:c r="P88" s="339"/>
      <x:c r="Q88" s="339"/>
      <x:c r="R88" s="339"/>
      <x:c r="S88" s="339"/>
      <x:c r="T88" s="339"/>
      <x:c r="U88" s="339"/>
      <x:c r="V88" s="339"/>
      <x:c r="W88" s="339"/>
      <x:c r="X88" s="339"/>
      <x:c r="Y88" s="339"/>
      <x:c r="Z88" s="339"/>
    </x:row>
    <x:row r="89">
      <x:c r="A89" s="28" t="str">
        <x:v>Student Loan</x:v>
      </x:c>
      <x:c r="B89" s="28" t="str">
        <x:v>Incremental tertiary-system fiscal cost per induced participant</x:v>
      </x:c>
      <x:c r="C89" s="28" t="str">
        <x:v>NZD/person</x:v>
      </x:c>
      <x:c r="D89" s="494" t="n">
        <x:v>6000</x:v>
      </x:c>
      <x:c r="E89" s="494" t="n">
        <x:v>8000</x:v>
      </x:c>
      <x:c r="F89" s="494" t="n">
        <x:v>10000</x:v>
      </x:c>
      <x:c r="G89" s="28" t="str">
        <x:v>S24;A16</x:v>
      </x:c>
      <x:c r="H89" s="28" t="str">
        <x:v>Scenario assumption</x:v>
      </x:c>
      <x:c r="I89" s="28" t="str">
        <x:v>Approximate provider-based public funding order of magnitude; requires pathway-specific costing.</x:v>
      </x:c>
      <x:c r="J89" s="339"/>
      <x:c r="K89" s="339"/>
      <x:c r="L89" s="339"/>
      <x:c r="M89" s="339"/>
      <x:c r="N89" s="339"/>
      <x:c r="O89" s="339"/>
      <x:c r="P89" s="339"/>
      <x:c r="Q89" s="339"/>
      <x:c r="R89" s="339"/>
      <x:c r="S89" s="339"/>
      <x:c r="T89" s="339"/>
      <x:c r="U89" s="339"/>
      <x:c r="V89" s="339"/>
      <x:c r="W89" s="339"/>
      <x:c r="X89" s="339"/>
      <x:c r="Y89" s="339"/>
      <x:c r="Z89" s="339"/>
    </x:row>
    <x:row r="90">
      <x:c r="A90" s="498" t="str">
        <x:v>Inflation</x:v>
      </x:c>
      <x:c r="B90" s="498" t="str">
        <x:v>Ten-year historical annualised CPI</x:v>
      </x:c>
      <x:c r="C90" s="496" t="str">
        <x:v>%</x:v>
      </x:c>
      <x:c r="D90" s="497" t="n">
        <x:v>0.03181013282891576</x:v>
      </x:c>
      <x:c r="E90" s="497" t="n">
        <x:v>0.03181013282891576</x:v>
      </x:c>
      <x:c r="F90" s="497" t="n">
        <x:v>0.03181013282891576</x:v>
      </x:c>
      <x:c r="G90" s="496" t="str">
        <x:v>S27</x:v>
      </x:c>
      <x:c r="H90" s="496" t="str">
        <x:v>Official calculation</x:v>
      </x:c>
      <x:c r="I90" s="496" t="str">
        <x:v>Geometric annual rate from March 2016 CPI 979 to March 2026 CPI 1339.</x:v>
      </x:c>
      <x:c r="J90" s="339"/>
      <x:c r="K90" s="339"/>
      <x:c r="L90" s="339"/>
      <x:c r="M90" s="339"/>
      <x:c r="N90" s="339"/>
      <x:c r="O90" s="339"/>
      <x:c r="P90" s="339"/>
      <x:c r="Q90" s="339"/>
      <x:c r="R90" s="339"/>
      <x:c r="S90" s="339"/>
      <x:c r="T90" s="339"/>
      <x:c r="U90" s="339"/>
      <x:c r="V90" s="339"/>
      <x:c r="W90" s="339"/>
      <x:c r="X90" s="339"/>
      <x:c r="Y90" s="339"/>
      <x:c r="Z90" s="339"/>
    </x:row>
    <x:row r="91">
      <x:c r="A91" s="28" t="str">
        <x:v>Inflation</x:v>
      </x:c>
      <x:c r="B91" s="28" t="str">
        <x:v>Twenty-year historical annualised CPI</x:v>
      </x:c>
      <x:c r="C91" s="28" t="str">
        <x:v>%</x:v>
      </x:c>
      <x:c r="D91" s="491" t="n">
        <x:v>0.025895799436110645</x:v>
      </x:c>
      <x:c r="E91" s="491" t="n">
        <x:v>0.025895799436110645</x:v>
      </x:c>
      <x:c r="F91" s="491" t="n">
        <x:v>0.025895799436110645</x:v>
      </x:c>
      <x:c r="G91" s="28" t="str">
        <x:v>S27</x:v>
      </x:c>
      <x:c r="H91" s="28" t="str">
        <x:v>Official calculation</x:v>
      </x:c>
      <x:c r="I91" s="28" t="str">
        <x:v>Geometric annual rate from March 2006 CPI 803 to March 2026 CPI 1339.</x:v>
      </x:c>
      <x:c r="J91" s="339"/>
      <x:c r="K91" s="339"/>
      <x:c r="L91" s="339"/>
      <x:c r="M91" s="339"/>
      <x:c r="N91" s="339"/>
      <x:c r="O91" s="339"/>
      <x:c r="P91" s="339"/>
      <x:c r="Q91" s="339"/>
      <x:c r="R91" s="339"/>
      <x:c r="S91" s="339"/>
      <x:c r="T91" s="339"/>
      <x:c r="U91" s="339"/>
      <x:c r="V91" s="339"/>
      <x:c r="W91" s="339"/>
      <x:c r="X91" s="339"/>
      <x:c r="Y91" s="339"/>
      <x:c r="Z91" s="339"/>
    </x:row>
    <x:row r="92">
      <x:c r="A92" s="28" t="str">
        <x:v>Inflation</x:v>
      </x:c>
      <x:c r="B92" s="28" t="str">
        <x:v>Long-term Treasury CPI assumption</x:v>
      </x:c>
      <x:c r="C92" s="28" t="str">
        <x:v>%</x:v>
      </x:c>
      <x:c r="D92" s="491" t="n">
        <x:v>0.02</x:v>
      </x:c>
      <x:c r="E92" s="491" t="n">
        <x:v>0.02</x:v>
      </x:c>
      <x:c r="F92" s="491" t="n">
        <x:v>0.02</x:v>
      </x:c>
      <x:c r="G92" s="28" t="str">
        <x:v>S26</x:v>
      </x:c>
      <x:c r="H92" s="28" t="str">
        <x:v>Official</x:v>
      </x:c>
      <x:c r="I92" s="28" t="str">
        <x:v>Long-run purchasing-power assumption.</x:v>
      </x:c>
      <x:c r="J92" s="339"/>
      <x:c r="K92" s="339"/>
      <x:c r="L92" s="339"/>
      <x:c r="M92" s="339"/>
      <x:c r="N92" s="339"/>
      <x:c r="O92" s="339"/>
      <x:c r="P92" s="339"/>
      <x:c r="Q92" s="339"/>
      <x:c r="R92" s="339"/>
      <x:c r="S92" s="339"/>
      <x:c r="T92" s="339"/>
      <x:c r="U92" s="339"/>
      <x:c r="V92" s="339"/>
      <x:c r="W92" s="339"/>
      <x:c r="X92" s="339"/>
      <x:c r="Y92" s="339"/>
      <x:c r="Z92" s="339"/>
    </x:row>
    <x:row r="93">
      <x:c r="A93" s="28" t="str">
        <x:v>Inflation</x:v>
      </x:c>
      <x:c r="B93" s="28" t="str">
        <x:v>Constant CPI sensitivity</x:v>
      </x:c>
      <x:c r="C93" s="28" t="str">
        <x:v>%</x:v>
      </x:c>
      <x:c r="D93" s="491" t="n">
        <x:v>0.02</x:v>
      </x:c>
      <x:c r="E93" s="491" t="n">
        <x:v>0.03</x:v>
      </x:c>
      <x:c r="F93" s="491" t="n">
        <x:v>0.04</x:v>
      </x:c>
      <x:c r="G93" s="28" t="str">
        <x:v>S26</x:v>
      </x:c>
      <x:c r="H93" s="28" t="str">
        <x:v>Sensitivity</x:v>
      </x:c>
      <x:c r="I93" s="28" t="str">
        <x:v>Separate from the Treasury forward curve.</x:v>
      </x:c>
      <x:c r="J93" s="339"/>
      <x:c r="K93" s="339"/>
      <x:c r="L93" s="339"/>
      <x:c r="M93" s="339"/>
      <x:c r="N93" s="339"/>
      <x:c r="O93" s="339"/>
      <x:c r="P93" s="339"/>
      <x:c r="Q93" s="339"/>
      <x:c r="R93" s="339"/>
      <x:c r="S93" s="339"/>
      <x:c r="T93" s="339"/>
      <x:c r="U93" s="339"/>
      <x:c r="V93" s="339"/>
      <x:c r="W93" s="339"/>
      <x:c r="X93" s="339"/>
      <x:c r="Y93" s="339"/>
      <x:c r="Z93" s="339"/>
    </x:row>
    <x:row r="94">
      <x:c r="A94" s="498" t="str">
        <x:v>Treasury curve</x:v>
      </x:c>
      <x:c r="B94" s="498" t="str">
        <x:v>Treasury forward CPI — Year 1</x:v>
      </x:c>
      <x:c r="C94" s="496" t="str">
        <x:v>%</x:v>
      </x:c>
      <x:c r="D94" s="497" t="n">
        <x:v>0.027</x:v>
      </x:c>
      <x:c r="E94" s="497" t="n">
        <x:v>0.027</x:v>
      </x:c>
      <x:c r="F94" s="497" t="n">
        <x:v>0.027</x:v>
      </x:c>
      <x:c r="G94" s="496" t="str">
        <x:v>S26</x:v>
      </x:c>
      <x:c r="H94" s="496" t="str">
        <x:v>Official; auditor confirmation pending</x:v>
      </x:c>
      <x:c r="I94" s="496" t="str">
        <x:v>30 June 2026 accounting-valuation curve.</x:v>
      </x:c>
      <x:c r="J94" s="339"/>
      <x:c r="K94" s="339"/>
      <x:c r="L94" s="339"/>
      <x:c r="M94" s="339"/>
      <x:c r="N94" s="339"/>
      <x:c r="O94" s="339"/>
      <x:c r="P94" s="339"/>
      <x:c r="Q94" s="339"/>
      <x:c r="R94" s="339"/>
      <x:c r="S94" s="339"/>
      <x:c r="T94" s="339"/>
      <x:c r="U94" s="339"/>
      <x:c r="V94" s="339"/>
      <x:c r="W94" s="339"/>
      <x:c r="X94" s="339"/>
      <x:c r="Y94" s="339"/>
      <x:c r="Z94" s="339"/>
    </x:row>
    <x:row r="95">
      <x:c r="A95" s="28" t="str">
        <x:v>Treasury curve</x:v>
      </x:c>
      <x:c r="B95" s="28" t="str">
        <x:v>Treasury forward CPI — Year 2</x:v>
      </x:c>
      <x:c r="C95" s="28" t="str">
        <x:v>%</x:v>
      </x:c>
      <x:c r="D95" s="491" t="n">
        <x:v>0.0231</x:v>
      </x:c>
      <x:c r="E95" s="491" t="n">
        <x:v>0.0231</x:v>
      </x:c>
      <x:c r="F95" s="491" t="n">
        <x:v>0.0231</x:v>
      </x:c>
      <x:c r="G95" s="28" t="str">
        <x:v>S26</x:v>
      </x:c>
      <x:c r="H95" s="28" t="str">
        <x:v>Official; auditor confirmation pending</x:v>
      </x:c>
      <x:c r="I95" s="28" t="str">
        <x:v>30 June 2026 accounting-valuation curve.</x:v>
      </x:c>
      <x:c r="J95" s="339"/>
      <x:c r="K95" s="339"/>
      <x:c r="L95" s="339"/>
      <x:c r="M95" s="339"/>
      <x:c r="N95" s="339"/>
      <x:c r="O95" s="339"/>
      <x:c r="P95" s="339"/>
      <x:c r="Q95" s="339"/>
      <x:c r="R95" s="339"/>
      <x:c r="S95" s="339"/>
      <x:c r="T95" s="339"/>
      <x:c r="U95" s="339"/>
      <x:c r="V95" s="339"/>
      <x:c r="W95" s="339"/>
      <x:c r="X95" s="339"/>
      <x:c r="Y95" s="339"/>
      <x:c r="Z95" s="339"/>
    </x:row>
    <x:row r="96">
      <x:c r="A96" s="28" t="str">
        <x:v>Treasury curve</x:v>
      </x:c>
      <x:c r="B96" s="28" t="str">
        <x:v>Treasury forward CPI — Year 3</x:v>
      </x:c>
      <x:c r="C96" s="28" t="str">
        <x:v>%</x:v>
      </x:c>
      <x:c r="D96" s="491" t="n">
        <x:v>0.0215</x:v>
      </x:c>
      <x:c r="E96" s="491" t="n">
        <x:v>0.0215</x:v>
      </x:c>
      <x:c r="F96" s="491" t="n">
        <x:v>0.0215</x:v>
      </x:c>
      <x:c r="G96" s="28" t="str">
        <x:v>S26</x:v>
      </x:c>
      <x:c r="H96" s="28" t="str">
        <x:v>Official; auditor confirmation pending</x:v>
      </x:c>
      <x:c r="I96" s="28" t="str">
        <x:v>30 June 2026 accounting-valuation curve.</x:v>
      </x:c>
      <x:c r="J96" s="339"/>
      <x:c r="K96" s="339"/>
      <x:c r="L96" s="339"/>
      <x:c r="M96" s="339"/>
      <x:c r="N96" s="339"/>
      <x:c r="O96" s="339"/>
      <x:c r="P96" s="339"/>
      <x:c r="Q96" s="339"/>
      <x:c r="R96" s="339"/>
      <x:c r="S96" s="339"/>
      <x:c r="T96" s="339"/>
      <x:c r="U96" s="339"/>
      <x:c r="V96" s="339"/>
      <x:c r="W96" s="339"/>
      <x:c r="X96" s="339"/>
      <x:c r="Y96" s="339"/>
      <x:c r="Z96" s="339"/>
    </x:row>
    <x:row r="97">
      <x:c r="A97" s="28" t="str">
        <x:v>Treasury curve</x:v>
      </x:c>
      <x:c r="B97" s="28" t="str">
        <x:v>Treasury forward CPI — Year 4</x:v>
      </x:c>
      <x:c r="C97" s="28" t="str">
        <x:v>%</x:v>
      </x:c>
      <x:c r="D97" s="491" t="n">
        <x:v>0.021</x:v>
      </x:c>
      <x:c r="E97" s="491" t="n">
        <x:v>0.021</x:v>
      </x:c>
      <x:c r="F97" s="491" t="n">
        <x:v>0.021</x:v>
      </x:c>
      <x:c r="G97" s="28" t="str">
        <x:v>S26</x:v>
      </x:c>
      <x:c r="H97" s="28" t="str">
        <x:v>Official; auditor confirmation pending</x:v>
      </x:c>
      <x:c r="I97" s="28" t="str">
        <x:v>30 June 2026 accounting-valuation curve.</x:v>
      </x:c>
      <x:c r="J97" s="339"/>
      <x:c r="K97" s="339"/>
      <x:c r="L97" s="339"/>
      <x:c r="M97" s="339"/>
      <x:c r="N97" s="339"/>
      <x:c r="O97" s="339"/>
      <x:c r="P97" s="339"/>
      <x:c r="Q97" s="339"/>
      <x:c r="R97" s="339"/>
      <x:c r="S97" s="339"/>
      <x:c r="T97" s="339"/>
      <x:c r="U97" s="339"/>
      <x:c r="V97" s="339"/>
      <x:c r="W97" s="339"/>
      <x:c r="X97" s="339"/>
      <x:c r="Y97" s="339"/>
      <x:c r="Z97" s="339"/>
    </x:row>
    <x:row r="98">
      <x:c r="A98" s="28" t="str">
        <x:v>Treasury curve</x:v>
      </x:c>
      <x:c r="B98" s="28" t="str">
        <x:v>Treasury forward CPI — Year 5</x:v>
      </x:c>
      <x:c r="C98" s="28" t="str">
        <x:v>%</x:v>
      </x:c>
      <x:c r="D98" s="491" t="n">
        <x:v>0.0196</x:v>
      </x:c>
      <x:c r="E98" s="491" t="n">
        <x:v>0.0196</x:v>
      </x:c>
      <x:c r="F98" s="491" t="n">
        <x:v>0.0196</x:v>
      </x:c>
      <x:c r="G98" s="28" t="str">
        <x:v>S26</x:v>
      </x:c>
      <x:c r="H98" s="28" t="str">
        <x:v>Official; auditor confirmation pending</x:v>
      </x:c>
      <x:c r="I98" s="28" t="str">
        <x:v>30 June 2026 accounting-valuation curve.</x:v>
      </x:c>
      <x:c r="J98" s="339"/>
      <x:c r="K98" s="339"/>
      <x:c r="L98" s="339"/>
      <x:c r="M98" s="339"/>
      <x:c r="N98" s="339"/>
      <x:c r="O98" s="339"/>
      <x:c r="P98" s="339"/>
      <x:c r="Q98" s="339"/>
      <x:c r="R98" s="339"/>
      <x:c r="S98" s="339"/>
      <x:c r="T98" s="339"/>
      <x:c r="U98" s="339"/>
      <x:c r="V98" s="339"/>
      <x:c r="W98" s="339"/>
      <x:c r="X98" s="339"/>
      <x:c r="Y98" s="339"/>
      <x:c r="Z98" s="339"/>
    </x:row>
    <x:row r="99">
      <x:c r="A99" s="28" t="str">
        <x:v>Treasury curve</x:v>
      </x:c>
      <x:c r="B99" s="28" t="str">
        <x:v>Treasury forward CPI — Year 6</x:v>
      </x:c>
      <x:c r="C99" s="28" t="str">
        <x:v>%</x:v>
      </x:c>
      <x:c r="D99" s="491" t="n">
        <x:v>0.0196</x:v>
      </x:c>
      <x:c r="E99" s="491" t="n">
        <x:v>0.0196</x:v>
      </x:c>
      <x:c r="F99" s="491" t="n">
        <x:v>0.0196</x:v>
      </x:c>
      <x:c r="G99" s="28" t="str">
        <x:v>S26</x:v>
      </x:c>
      <x:c r="H99" s="28" t="str">
        <x:v>Official; auditor confirmation pending</x:v>
      </x:c>
      <x:c r="I99" s="28" t="str">
        <x:v>30 June 2026 accounting-valuation curve.</x:v>
      </x:c>
      <x:c r="J99" s="339"/>
      <x:c r="K99" s="339"/>
      <x:c r="L99" s="339"/>
      <x:c r="M99" s="339"/>
      <x:c r="N99" s="339"/>
      <x:c r="O99" s="339"/>
      <x:c r="P99" s="339"/>
      <x:c r="Q99" s="339"/>
      <x:c r="R99" s="339"/>
      <x:c r="S99" s="339"/>
      <x:c r="T99" s="339"/>
      <x:c r="U99" s="339"/>
      <x:c r="V99" s="339"/>
      <x:c r="W99" s="339"/>
      <x:c r="X99" s="339"/>
      <x:c r="Y99" s="339"/>
      <x:c r="Z99" s="339"/>
    </x:row>
    <x:row r="100">
      <x:c r="A100" s="28" t="str">
        <x:v>Treasury curve</x:v>
      </x:c>
      <x:c r="B100" s="28" t="str">
        <x:v>Treasury forward CPI — Year 7</x:v>
      </x:c>
      <x:c r="C100" s="28" t="str">
        <x:v>%</x:v>
      </x:c>
      <x:c r="D100" s="491" t="n">
        <x:v>0.0196</x:v>
      </x:c>
      <x:c r="E100" s="491" t="n">
        <x:v>0.0196</x:v>
      </x:c>
      <x:c r="F100" s="491" t="n">
        <x:v>0.0196</x:v>
      </x:c>
      <x:c r="G100" s="28" t="str">
        <x:v>S26</x:v>
      </x:c>
      <x:c r="H100" s="28" t="str">
        <x:v>Official; auditor confirmation pending</x:v>
      </x:c>
      <x:c r="I100" s="28" t="str">
        <x:v>30 June 2026 accounting-valuation curve.</x:v>
      </x:c>
      <x:c r="J100" s="339"/>
      <x:c r="K100" s="339"/>
      <x:c r="L100" s="339"/>
      <x:c r="M100" s="339"/>
      <x:c r="N100" s="339"/>
      <x:c r="O100" s="339"/>
      <x:c r="P100" s="339"/>
      <x:c r="Q100" s="339"/>
      <x:c r="R100" s="339"/>
      <x:c r="S100" s="339"/>
      <x:c r="T100" s="339"/>
      <x:c r="U100" s="339"/>
      <x:c r="V100" s="339"/>
      <x:c r="W100" s="339"/>
      <x:c r="X100" s="339"/>
      <x:c r="Y100" s="339"/>
      <x:c r="Z100" s="339"/>
    </x:row>
    <x:row r="101">
      <x:c r="A101" s="28" t="str">
        <x:v>Treasury curve</x:v>
      </x:c>
      <x:c r="B101" s="28" t="str">
        <x:v>Treasury forward CPI — Year 8</x:v>
      </x:c>
      <x:c r="C101" s="28" t="str">
        <x:v>%</x:v>
      </x:c>
      <x:c r="D101" s="491" t="n">
        <x:v>0.0196</x:v>
      </x:c>
      <x:c r="E101" s="491" t="n">
        <x:v>0.0196</x:v>
      </x:c>
      <x:c r="F101" s="491" t="n">
        <x:v>0.0196</x:v>
      </x:c>
      <x:c r="G101" s="28" t="str">
        <x:v>S26</x:v>
      </x:c>
      <x:c r="H101" s="28" t="str">
        <x:v>Official; auditor confirmation pending</x:v>
      </x:c>
      <x:c r="I101" s="28" t="str">
        <x:v>30 June 2026 accounting-valuation curve.</x:v>
      </x:c>
      <x:c r="J101" s="339"/>
      <x:c r="K101" s="339"/>
      <x:c r="L101" s="339"/>
      <x:c r="M101" s="339"/>
      <x:c r="N101" s="339"/>
      <x:c r="O101" s="339"/>
      <x:c r="P101" s="339"/>
      <x:c r="Q101" s="339"/>
      <x:c r="R101" s="339"/>
      <x:c r="S101" s="339"/>
      <x:c r="T101" s="339"/>
      <x:c r="U101" s="339"/>
      <x:c r="V101" s="339"/>
      <x:c r="W101" s="339"/>
      <x:c r="X101" s="339"/>
      <x:c r="Y101" s="339"/>
      <x:c r="Z101" s="339"/>
    </x:row>
    <x:row r="102">
      <x:c r="A102" s="28" t="str">
        <x:v>Treasury curve</x:v>
      </x:c>
      <x:c r="B102" s="28" t="str">
        <x:v>Treasury forward CPI — Year 9</x:v>
      </x:c>
      <x:c r="C102" s="28" t="str">
        <x:v>%</x:v>
      </x:c>
      <x:c r="D102" s="491" t="n">
        <x:v>0.0196</x:v>
      </x:c>
      <x:c r="E102" s="491" t="n">
        <x:v>0.0196</x:v>
      </x:c>
      <x:c r="F102" s="491" t="n">
        <x:v>0.0196</x:v>
      </x:c>
      <x:c r="G102" s="28" t="str">
        <x:v>S26</x:v>
      </x:c>
      <x:c r="H102" s="28" t="str">
        <x:v>Official; auditor confirmation pending</x:v>
      </x:c>
      <x:c r="I102" s="28" t="str">
        <x:v>30 June 2026 accounting-valuation curve.</x:v>
      </x:c>
      <x:c r="J102" s="339"/>
      <x:c r="K102" s="339"/>
      <x:c r="L102" s="339"/>
      <x:c r="M102" s="339"/>
      <x:c r="N102" s="339"/>
      <x:c r="O102" s="339"/>
      <x:c r="P102" s="339"/>
      <x:c r="Q102" s="339"/>
      <x:c r="R102" s="339"/>
      <x:c r="S102" s="339"/>
      <x:c r="T102" s="339"/>
      <x:c r="U102" s="339"/>
      <x:c r="V102" s="339"/>
      <x:c r="W102" s="339"/>
      <x:c r="X102" s="339"/>
      <x:c r="Y102" s="339"/>
      <x:c r="Z102" s="339"/>
    </x:row>
    <x:row r="103">
      <x:c r="A103" s="28" t="str">
        <x:v>Treasury curve</x:v>
      </x:c>
      <x:c r="B103" s="28" t="str">
        <x:v>Treasury forward CPI — Year 10</x:v>
      </x:c>
      <x:c r="C103" s="28" t="str">
        <x:v>%</x:v>
      </x:c>
      <x:c r="D103" s="491" t="n">
        <x:v>0.0196</x:v>
      </x:c>
      <x:c r="E103" s="491" t="n">
        <x:v>0.0196</x:v>
      </x:c>
      <x:c r="F103" s="491" t="n">
        <x:v>0.0196</x:v>
      </x:c>
      <x:c r="G103" s="28" t="str">
        <x:v>S26</x:v>
      </x:c>
      <x:c r="H103" s="28" t="str">
        <x:v>Official; auditor confirmation pending</x:v>
      </x:c>
      <x:c r="I103" s="28" t="str">
        <x:v>30 June 2026 accounting-valuation curve.</x:v>
      </x:c>
      <x:c r="J103" s="339"/>
      <x:c r="K103" s="339"/>
      <x:c r="L103" s="339"/>
      <x:c r="M103" s="339"/>
      <x:c r="N103" s="339"/>
      <x:c r="O103" s="339"/>
      <x:c r="P103" s="339"/>
      <x:c r="Q103" s="339"/>
      <x:c r="R103" s="339"/>
      <x:c r="S103" s="339"/>
      <x:c r="T103" s="339"/>
      <x:c r="U103" s="339"/>
      <x:c r="V103" s="339"/>
      <x:c r="W103" s="339"/>
      <x:c r="X103" s="339"/>
      <x:c r="Y103" s="339"/>
      <x:c r="Z103" s="339"/>
    </x:row>
    <x:row r="104">
      <x:c r="A104" s="28" t="str">
        <x:v>Treasury curve</x:v>
      </x:c>
      <x:c r="B104" s="28" t="str">
        <x:v>Treasury forward CPI — Year 11</x:v>
      </x:c>
      <x:c r="C104" s="28" t="str">
        <x:v>%</x:v>
      </x:c>
      <x:c r="D104" s="491" t="n">
        <x:v>0.0196</x:v>
      </x:c>
      <x:c r="E104" s="491" t="n">
        <x:v>0.0196</x:v>
      </x:c>
      <x:c r="F104" s="491" t="n">
        <x:v>0.0196</x:v>
      </x:c>
      <x:c r="G104" s="28" t="str">
        <x:v>S26</x:v>
      </x:c>
      <x:c r="H104" s="28" t="str">
        <x:v>Official; auditor confirmation pending</x:v>
      </x:c>
      <x:c r="I104" s="28" t="str">
        <x:v>30 June 2026 accounting-valuation curve.</x:v>
      </x:c>
      <x:c r="J104" s="339"/>
      <x:c r="K104" s="339"/>
      <x:c r="L104" s="339"/>
      <x:c r="M104" s="339"/>
      <x:c r="N104" s="339"/>
      <x:c r="O104" s="339"/>
      <x:c r="P104" s="339"/>
      <x:c r="Q104" s="339"/>
      <x:c r="R104" s="339"/>
      <x:c r="S104" s="339"/>
      <x:c r="T104" s="339"/>
      <x:c r="U104" s="339"/>
      <x:c r="V104" s="339"/>
      <x:c r="W104" s="339"/>
      <x:c r="X104" s="339"/>
      <x:c r="Y104" s="339"/>
      <x:c r="Z104" s="339"/>
    </x:row>
    <x:row r="105">
      <x:c r="A105" s="28" t="str">
        <x:v>Treasury curve</x:v>
      </x:c>
      <x:c r="B105" s="28" t="str">
        <x:v>Treasury forward CPI — Year 12</x:v>
      </x:c>
      <x:c r="C105" s="28" t="str">
        <x:v>%</x:v>
      </x:c>
      <x:c r="D105" s="491" t="n">
        <x:v>0.0196</x:v>
      </x:c>
      <x:c r="E105" s="491" t="n">
        <x:v>0.0196</x:v>
      </x:c>
      <x:c r="F105" s="491" t="n">
        <x:v>0.0196</x:v>
      </x:c>
      <x:c r="G105" s="28" t="str">
        <x:v>S26</x:v>
      </x:c>
      <x:c r="H105" s="28" t="str">
        <x:v>Official; auditor confirmation pending</x:v>
      </x:c>
      <x:c r="I105" s="28" t="str">
        <x:v>30 June 2026 accounting-valuation curve.</x:v>
      </x:c>
      <x:c r="J105" s="339"/>
      <x:c r="K105" s="339"/>
      <x:c r="L105" s="339"/>
      <x:c r="M105" s="339"/>
      <x:c r="N105" s="339"/>
      <x:c r="O105" s="339"/>
      <x:c r="P105" s="339"/>
      <x:c r="Q105" s="339"/>
      <x:c r="R105" s="339"/>
      <x:c r="S105" s="339"/>
      <x:c r="T105" s="339"/>
      <x:c r="U105" s="339"/>
      <x:c r="V105" s="339"/>
      <x:c r="W105" s="339"/>
      <x:c r="X105" s="339"/>
      <x:c r="Y105" s="339"/>
      <x:c r="Z105" s="339"/>
    </x:row>
    <x:row r="106">
      <x:c r="A106" s="28" t="str">
        <x:v>Treasury curve</x:v>
      </x:c>
      <x:c r="B106" s="28" t="str">
        <x:v>Treasury forward CPI — Year 13</x:v>
      </x:c>
      <x:c r="C106" s="28" t="str">
        <x:v>%</x:v>
      </x:c>
      <x:c r="D106" s="491" t="n">
        <x:v>0.0196</x:v>
      </x:c>
      <x:c r="E106" s="491" t="n">
        <x:v>0.0196</x:v>
      </x:c>
      <x:c r="F106" s="491" t="n">
        <x:v>0.0196</x:v>
      </x:c>
      <x:c r="G106" s="28" t="str">
        <x:v>S26</x:v>
      </x:c>
      <x:c r="H106" s="28" t="str">
        <x:v>Official; auditor confirmation pending</x:v>
      </x:c>
      <x:c r="I106" s="28" t="str">
        <x:v>30 June 2026 accounting-valuation curve.</x:v>
      </x:c>
      <x:c r="J106" s="339"/>
      <x:c r="K106" s="339"/>
      <x:c r="L106" s="339"/>
      <x:c r="M106" s="339"/>
      <x:c r="N106" s="339"/>
      <x:c r="O106" s="339"/>
      <x:c r="P106" s="339"/>
      <x:c r="Q106" s="339"/>
      <x:c r="R106" s="339"/>
      <x:c r="S106" s="339"/>
      <x:c r="T106" s="339"/>
      <x:c r="U106" s="339"/>
      <x:c r="V106" s="339"/>
      <x:c r="W106" s="339"/>
      <x:c r="X106" s="339"/>
      <x:c r="Y106" s="339"/>
      <x:c r="Z106" s="339"/>
    </x:row>
    <x:row r="107">
      <x:c r="A107" s="28" t="str">
        <x:v>Treasury curve</x:v>
      </x:c>
      <x:c r="B107" s="28" t="str">
        <x:v>Treasury forward CPI — Year 14</x:v>
      </x:c>
      <x:c r="C107" s="28" t="str">
        <x:v>%</x:v>
      </x:c>
      <x:c r="D107" s="491" t="n">
        <x:v>0.0196</x:v>
      </x:c>
      <x:c r="E107" s="491" t="n">
        <x:v>0.0196</x:v>
      </x:c>
      <x:c r="F107" s="491" t="n">
        <x:v>0.0196</x:v>
      </x:c>
      <x:c r="G107" s="28" t="str">
        <x:v>S26</x:v>
      </x:c>
      <x:c r="H107" s="28" t="str">
        <x:v>Official; auditor confirmation pending</x:v>
      </x:c>
      <x:c r="I107" s="28" t="str">
        <x:v>30 June 2026 accounting-valuation curve.</x:v>
      </x:c>
      <x:c r="J107" s="339"/>
      <x:c r="K107" s="339"/>
      <x:c r="L107" s="339"/>
      <x:c r="M107" s="339"/>
      <x:c r="N107" s="339"/>
      <x:c r="O107" s="339"/>
      <x:c r="P107" s="339"/>
      <x:c r="Q107" s="339"/>
      <x:c r="R107" s="339"/>
      <x:c r="S107" s="339"/>
      <x:c r="T107" s="339"/>
      <x:c r="U107" s="339"/>
      <x:c r="V107" s="339"/>
      <x:c r="W107" s="339"/>
      <x:c r="X107" s="339"/>
      <x:c r="Y107" s="339"/>
      <x:c r="Z107" s="339"/>
    </x:row>
    <x:row r="108">
      <x:c r="A108" s="28" t="str">
        <x:v>Treasury curve</x:v>
      </x:c>
      <x:c r="B108" s="28" t="str">
        <x:v>Treasury forward CPI — Year 15</x:v>
      </x:c>
      <x:c r="C108" s="28" t="str">
        <x:v>%</x:v>
      </x:c>
      <x:c r="D108" s="491" t="n">
        <x:v>0.0196</x:v>
      </x:c>
      <x:c r="E108" s="491" t="n">
        <x:v>0.0196</x:v>
      </x:c>
      <x:c r="F108" s="491" t="n">
        <x:v>0.0196</x:v>
      </x:c>
      <x:c r="G108" s="28" t="str">
        <x:v>S26</x:v>
      </x:c>
      <x:c r="H108" s="28" t="str">
        <x:v>Official; auditor confirmation pending</x:v>
      </x:c>
      <x:c r="I108" s="28" t="str">
        <x:v>30 June 2026 accounting-valuation curve.</x:v>
      </x:c>
      <x:c r="J108" s="339"/>
      <x:c r="K108" s="339"/>
      <x:c r="L108" s="339"/>
      <x:c r="M108" s="339"/>
      <x:c r="N108" s="339"/>
      <x:c r="O108" s="339"/>
      <x:c r="P108" s="339"/>
      <x:c r="Q108" s="339"/>
      <x:c r="R108" s="339"/>
      <x:c r="S108" s="339"/>
      <x:c r="T108" s="339"/>
      <x:c r="U108" s="339"/>
      <x:c r="V108" s="339"/>
      <x:c r="W108" s="339"/>
      <x:c r="X108" s="339"/>
      <x:c r="Y108" s="339"/>
      <x:c r="Z108" s="339"/>
    </x:row>
    <x:row r="109">
      <x:c r="A109" s="28" t="str">
        <x:v>Treasury curve</x:v>
      </x:c>
      <x:c r="B109" s="28" t="str">
        <x:v>Treasury risk-free forward rate — Year 1</x:v>
      </x:c>
      <x:c r="C109" s="28" t="str">
        <x:v>%</x:v>
      </x:c>
      <x:c r="D109" s="491" t="n">
        <x:v>0.0297</x:v>
      </x:c>
      <x:c r="E109" s="491" t="n">
        <x:v>0.0297</x:v>
      </x:c>
      <x:c r="F109" s="491" t="n">
        <x:v>0.0297</x:v>
      </x:c>
      <x:c r="G109" s="28" t="str">
        <x:v>S26</x:v>
      </x:c>
      <x:c r="H109" s="28" t="str">
        <x:v>Official; auditor confirmation pending</x:v>
      </x:c>
      <x:c r="I109" s="28" t="str">
        <x:v>30 June 2026 accounting-valuation curve.</x:v>
      </x:c>
      <x:c r="J109" s="339"/>
      <x:c r="K109" s="339"/>
      <x:c r="L109" s="339"/>
      <x:c r="M109" s="339"/>
      <x:c r="N109" s="339"/>
      <x:c r="O109" s="339"/>
      <x:c r="P109" s="339"/>
      <x:c r="Q109" s="339"/>
      <x:c r="R109" s="339"/>
      <x:c r="S109" s="339"/>
      <x:c r="T109" s="339"/>
      <x:c r="U109" s="339"/>
      <x:c r="V109" s="339"/>
      <x:c r="W109" s="339"/>
      <x:c r="X109" s="339"/>
      <x:c r="Y109" s="339"/>
      <x:c r="Z109" s="339"/>
    </x:row>
    <x:row r="110">
      <x:c r="A110" s="28" t="str">
        <x:v>Treasury curve</x:v>
      </x:c>
      <x:c r="B110" s="28" t="str">
        <x:v>Treasury risk-free forward rate — Year 2</x:v>
      </x:c>
      <x:c r="C110" s="28" t="str">
        <x:v>%</x:v>
      </x:c>
      <x:c r="D110" s="491" t="n">
        <x:v>0.0375</x:v>
      </x:c>
      <x:c r="E110" s="491" t="n">
        <x:v>0.0375</x:v>
      </x:c>
      <x:c r="F110" s="491" t="n">
        <x:v>0.0375</x:v>
      </x:c>
      <x:c r="G110" s="28" t="str">
        <x:v>S26</x:v>
      </x:c>
      <x:c r="H110" s="28" t="str">
        <x:v>Official; auditor confirmation pending</x:v>
      </x:c>
      <x:c r="I110" s="28" t="str">
        <x:v>30 June 2026 accounting-valuation curve.</x:v>
      </x:c>
      <x:c r="J110" s="339"/>
      <x:c r="K110" s="339"/>
      <x:c r="L110" s="339"/>
      <x:c r="M110" s="339"/>
      <x:c r="N110" s="339"/>
      <x:c r="O110" s="339"/>
      <x:c r="P110" s="339"/>
      <x:c r="Q110" s="339"/>
      <x:c r="R110" s="339"/>
      <x:c r="S110" s="339"/>
      <x:c r="T110" s="339"/>
      <x:c r="U110" s="339"/>
      <x:c r="V110" s="339"/>
      <x:c r="W110" s="339"/>
      <x:c r="X110" s="339"/>
      <x:c r="Y110" s="339"/>
      <x:c r="Z110" s="339"/>
    </x:row>
    <x:row r="111">
      <x:c r="A111" s="28" t="str">
        <x:v>Treasury curve</x:v>
      </x:c>
      <x:c r="B111" s="28" t="str">
        <x:v>Treasury risk-free forward rate — Year 3</x:v>
      </x:c>
      <x:c r="C111" s="28" t="str">
        <x:v>%</x:v>
      </x:c>
      <x:c r="D111" s="491" t="n">
        <x:v>0.04</x:v>
      </x:c>
      <x:c r="E111" s="491" t="n">
        <x:v>0.04</x:v>
      </x:c>
      <x:c r="F111" s="491" t="n">
        <x:v>0.04</x:v>
      </x:c>
      <x:c r="G111" s="28" t="str">
        <x:v>S26</x:v>
      </x:c>
      <x:c r="H111" s="28" t="str">
        <x:v>Official; auditor confirmation pending</x:v>
      </x:c>
      <x:c r="I111" s="28" t="str">
        <x:v>30 June 2026 accounting-valuation curve.</x:v>
      </x:c>
      <x:c r="J111" s="339"/>
      <x:c r="K111" s="339"/>
      <x:c r="L111" s="339"/>
      <x:c r="M111" s="339"/>
      <x:c r="N111" s="339"/>
      <x:c r="O111" s="339"/>
      <x:c r="P111" s="339"/>
      <x:c r="Q111" s="339"/>
      <x:c r="R111" s="339"/>
      <x:c r="S111" s="339"/>
      <x:c r="T111" s="339"/>
      <x:c r="U111" s="339"/>
      <x:c r="V111" s="339"/>
      <x:c r="W111" s="339"/>
      <x:c r="X111" s="339"/>
      <x:c r="Y111" s="339"/>
      <x:c r="Z111" s="339"/>
    </x:row>
    <x:row r="112">
      <x:c r="A112" s="28" t="str">
        <x:v>Treasury curve</x:v>
      </x:c>
      <x:c r="B112" s="28" t="str">
        <x:v>Treasury risk-free forward rate — Year 4</x:v>
      </x:c>
      <x:c r="C112" s="28" t="str">
        <x:v>%</x:v>
      </x:c>
      <x:c r="D112" s="491" t="n">
        <x:v>0.0427</x:v>
      </x:c>
      <x:c r="E112" s="491" t="n">
        <x:v>0.0427</x:v>
      </x:c>
      <x:c r="F112" s="491" t="n">
        <x:v>0.0427</x:v>
      </x:c>
      <x:c r="G112" s="28" t="str">
        <x:v>S26</x:v>
      </x:c>
      <x:c r="H112" s="28" t="str">
        <x:v>Official; auditor confirmation pending</x:v>
      </x:c>
      <x:c r="I112" s="28" t="str">
        <x:v>30 June 2026 accounting-valuation curve.</x:v>
      </x:c>
      <x:c r="J112" s="339"/>
      <x:c r="K112" s="339"/>
      <x:c r="L112" s="339"/>
      <x:c r="M112" s="339"/>
      <x:c r="N112" s="339"/>
      <x:c r="O112" s="339"/>
      <x:c r="P112" s="339"/>
      <x:c r="Q112" s="339"/>
      <x:c r="R112" s="339"/>
      <x:c r="S112" s="339"/>
      <x:c r="T112" s="339"/>
      <x:c r="U112" s="339"/>
      <x:c r="V112" s="339"/>
      <x:c r="W112" s="339"/>
      <x:c r="X112" s="339"/>
      <x:c r="Y112" s="339"/>
      <x:c r="Z112" s="339"/>
    </x:row>
    <x:row r="113">
      <x:c r="A113" s="28" t="str">
        <x:v>Treasury curve</x:v>
      </x:c>
      <x:c r="B113" s="28" t="str">
        <x:v>Treasury risk-free forward rate — Year 5</x:v>
      </x:c>
      <x:c r="C113" s="28" t="str">
        <x:v>%</x:v>
      </x:c>
      <x:c r="D113" s="491" t="n">
        <x:v>0.0454</x:v>
      </x:c>
      <x:c r="E113" s="491" t="n">
        <x:v>0.0454</x:v>
      </x:c>
      <x:c r="F113" s="491" t="n">
        <x:v>0.0454</x:v>
      </x:c>
      <x:c r="G113" s="28" t="str">
        <x:v>S26</x:v>
      </x:c>
      <x:c r="H113" s="28" t="str">
        <x:v>Official; auditor confirmation pending</x:v>
      </x:c>
      <x:c r="I113" s="28" t="str">
        <x:v>30 June 2026 accounting-valuation curve.</x:v>
      </x:c>
      <x:c r="J113" s="339"/>
      <x:c r="K113" s="339"/>
      <x:c r="L113" s="339"/>
      <x:c r="M113" s="339"/>
      <x:c r="N113" s="339"/>
      <x:c r="O113" s="339"/>
      <x:c r="P113" s="339"/>
      <x:c r="Q113" s="339"/>
      <x:c r="R113" s="339"/>
      <x:c r="S113" s="339"/>
      <x:c r="T113" s="339"/>
      <x:c r="U113" s="339"/>
      <x:c r="V113" s="339"/>
      <x:c r="W113" s="339"/>
      <x:c r="X113" s="339"/>
      <x:c r="Y113" s="339"/>
      <x:c r="Z113" s="339"/>
    </x:row>
    <x:row r="114">
      <x:c r="A114" s="28" t="str">
        <x:v>Treasury curve</x:v>
      </x:c>
      <x:c r="B114" s="28" t="str">
        <x:v>Treasury risk-free forward rate — Year 6</x:v>
      </x:c>
      <x:c r="C114" s="28" t="str">
        <x:v>%</x:v>
      </x:c>
      <x:c r="D114" s="491" t="n">
        <x:v>0.0482</x:v>
      </x:c>
      <x:c r="E114" s="491" t="n">
        <x:v>0.0482</x:v>
      </x:c>
      <x:c r="F114" s="491" t="n">
        <x:v>0.0482</x:v>
      </x:c>
      <x:c r="G114" s="28" t="str">
        <x:v>S26</x:v>
      </x:c>
      <x:c r="H114" s="28" t="str">
        <x:v>Official; auditor confirmation pending</x:v>
      </x:c>
      <x:c r="I114" s="28" t="str">
        <x:v>30 June 2026 accounting-valuation curve.</x:v>
      </x:c>
      <x:c r="J114" s="339"/>
      <x:c r="K114" s="339"/>
      <x:c r="L114" s="339"/>
      <x:c r="M114" s="339"/>
      <x:c r="N114" s="339"/>
      <x:c r="O114" s="339"/>
      <x:c r="P114" s="339"/>
      <x:c r="Q114" s="339"/>
      <x:c r="R114" s="339"/>
      <x:c r="S114" s="339"/>
      <x:c r="T114" s="339"/>
      <x:c r="U114" s="339"/>
      <x:c r="V114" s="339"/>
      <x:c r="W114" s="339"/>
      <x:c r="X114" s="339"/>
      <x:c r="Y114" s="339"/>
      <x:c r="Z114" s="339"/>
    </x:row>
    <x:row r="115">
      <x:c r="A115" s="28" t="str">
        <x:v>Treasury curve</x:v>
      </x:c>
      <x:c r="B115" s="28" t="str">
        <x:v>Treasury risk-free forward rate — Year 7</x:v>
      </x:c>
      <x:c r="C115" s="28" t="str">
        <x:v>%</x:v>
      </x:c>
      <x:c r="D115" s="491" t="n">
        <x:v>0.0496</x:v>
      </x:c>
      <x:c r="E115" s="491" t="n">
        <x:v>0.0496</x:v>
      </x:c>
      <x:c r="F115" s="491" t="n">
        <x:v>0.0496</x:v>
      </x:c>
      <x:c r="G115" s="28" t="str">
        <x:v>S26</x:v>
      </x:c>
      <x:c r="H115" s="28" t="str">
        <x:v>Official; auditor confirmation pending</x:v>
      </x:c>
      <x:c r="I115" s="28" t="str">
        <x:v>30 June 2026 accounting-valuation curve.</x:v>
      </x:c>
      <x:c r="J115" s="339"/>
      <x:c r="K115" s="339"/>
      <x:c r="L115" s="339"/>
      <x:c r="M115" s="339"/>
      <x:c r="N115" s="339"/>
      <x:c r="O115" s="339"/>
      <x:c r="P115" s="339"/>
      <x:c r="Q115" s="339"/>
      <x:c r="R115" s="339"/>
      <x:c r="S115" s="339"/>
      <x:c r="T115" s="339"/>
      <x:c r="U115" s="339"/>
      <x:c r="V115" s="339"/>
      <x:c r="W115" s="339"/>
      <x:c r="X115" s="339"/>
      <x:c r="Y115" s="339"/>
      <x:c r="Z115" s="339"/>
    </x:row>
    <x:row r="116">
      <x:c r="A116" s="28" t="str">
        <x:v>Treasury curve</x:v>
      </x:c>
      <x:c r="B116" s="28" t="str">
        <x:v>Treasury risk-free forward rate — Year 8</x:v>
      </x:c>
      <x:c r="C116" s="28" t="str">
        <x:v>%</x:v>
      </x:c>
      <x:c r="D116" s="491" t="n">
        <x:v>0.0506</x:v>
      </x:c>
      <x:c r="E116" s="491" t="n">
        <x:v>0.0506</x:v>
      </x:c>
      <x:c r="F116" s="491" t="n">
        <x:v>0.0506</x:v>
      </x:c>
      <x:c r="G116" s="28" t="str">
        <x:v>S26</x:v>
      </x:c>
      <x:c r="H116" s="28" t="str">
        <x:v>Official; auditor confirmation pending</x:v>
      </x:c>
      <x:c r="I116" s="28" t="str">
        <x:v>30 June 2026 accounting-valuation curve.</x:v>
      </x:c>
      <x:c r="J116" s="339"/>
      <x:c r="K116" s="339"/>
      <x:c r="L116" s="339"/>
      <x:c r="M116" s="339"/>
      <x:c r="N116" s="339"/>
      <x:c r="O116" s="339"/>
      <x:c r="P116" s="339"/>
      <x:c r="Q116" s="339"/>
      <x:c r="R116" s="339"/>
      <x:c r="S116" s="339"/>
      <x:c r="T116" s="339"/>
      <x:c r="U116" s="339"/>
      <x:c r="V116" s="339"/>
      <x:c r="W116" s="339"/>
      <x:c r="X116" s="339"/>
      <x:c r="Y116" s="339"/>
      <x:c r="Z116" s="339"/>
    </x:row>
    <x:row r="117">
      <x:c r="A117" s="28" t="str">
        <x:v>Treasury curve</x:v>
      </x:c>
      <x:c r="B117" s="28" t="str">
        <x:v>Treasury risk-free forward rate — Year 9</x:v>
      </x:c>
      <x:c r="C117" s="28" t="str">
        <x:v>%</x:v>
      </x:c>
      <x:c r="D117" s="491" t="n">
        <x:v>0.0518</x:v>
      </x:c>
      <x:c r="E117" s="491" t="n">
        <x:v>0.0518</x:v>
      </x:c>
      <x:c r="F117" s="491" t="n">
        <x:v>0.0518</x:v>
      </x:c>
      <x:c r="G117" s="28" t="str">
        <x:v>S26</x:v>
      </x:c>
      <x:c r="H117" s="28" t="str">
        <x:v>Official; auditor confirmation pending</x:v>
      </x:c>
      <x:c r="I117" s="28" t="str">
        <x:v>30 June 2026 accounting-valuation curve.</x:v>
      </x:c>
      <x:c r="J117" s="339"/>
      <x:c r="K117" s="339"/>
      <x:c r="L117" s="339"/>
      <x:c r="M117" s="339"/>
      <x:c r="N117" s="339"/>
      <x:c r="O117" s="339"/>
      <x:c r="P117" s="339"/>
      <x:c r="Q117" s="339"/>
      <x:c r="R117" s="339"/>
      <x:c r="S117" s="339"/>
      <x:c r="T117" s="339"/>
      <x:c r="U117" s="339"/>
      <x:c r="V117" s="339"/>
      <x:c r="W117" s="339"/>
      <x:c r="X117" s="339"/>
      <x:c r="Y117" s="339"/>
      <x:c r="Z117" s="339"/>
    </x:row>
    <x:row r="118">
      <x:c r="A118" s="28" t="str">
        <x:v>Treasury curve</x:v>
      </x:c>
      <x:c r="B118" s="28" t="str">
        <x:v>Treasury risk-free forward rate — Year 10</x:v>
      </x:c>
      <x:c r="C118" s="28" t="str">
        <x:v>%</x:v>
      </x:c>
      <x:c r="D118" s="491" t="n">
        <x:v>0.0531</x:v>
      </x:c>
      <x:c r="E118" s="491" t="n">
        <x:v>0.0531</x:v>
      </x:c>
      <x:c r="F118" s="491" t="n">
        <x:v>0.0531</x:v>
      </x:c>
      <x:c r="G118" s="28" t="str">
        <x:v>S26</x:v>
      </x:c>
      <x:c r="H118" s="28" t="str">
        <x:v>Official; auditor confirmation pending</x:v>
      </x:c>
      <x:c r="I118" s="28" t="str">
        <x:v>30 June 2026 accounting-valuation curve.</x:v>
      </x:c>
      <x:c r="J118" s="339"/>
      <x:c r="K118" s="339"/>
      <x:c r="L118" s="339"/>
      <x:c r="M118" s="339"/>
      <x:c r="N118" s="339"/>
      <x:c r="O118" s="339"/>
      <x:c r="P118" s="339"/>
      <x:c r="Q118" s="339"/>
      <x:c r="R118" s="339"/>
      <x:c r="S118" s="339"/>
      <x:c r="T118" s="339"/>
      <x:c r="U118" s="339"/>
      <x:c r="V118" s="339"/>
      <x:c r="W118" s="339"/>
      <x:c r="X118" s="339"/>
      <x:c r="Y118" s="339"/>
      <x:c r="Z118" s="339"/>
    </x:row>
    <x:row r="119">
      <x:c r="A119" s="28" t="str">
        <x:v>Treasury curve</x:v>
      </x:c>
      <x:c r="B119" s="28" t="str">
        <x:v>Treasury risk-free forward rate — Year 11</x:v>
      </x:c>
      <x:c r="C119" s="28" t="str">
        <x:v>%</x:v>
      </x:c>
      <x:c r="D119" s="491" t="n">
        <x:v>0.0545</x:v>
      </x:c>
      <x:c r="E119" s="491" t="n">
        <x:v>0.0545</x:v>
      </x:c>
      <x:c r="F119" s="491" t="n">
        <x:v>0.0545</x:v>
      </x:c>
      <x:c r="G119" s="28" t="str">
        <x:v>S26</x:v>
      </x:c>
      <x:c r="H119" s="28" t="str">
        <x:v>Official; auditor confirmation pending</x:v>
      </x:c>
      <x:c r="I119" s="28" t="str">
        <x:v>30 June 2026 accounting-valuation curve.</x:v>
      </x:c>
      <x:c r="J119" s="339"/>
      <x:c r="K119" s="339"/>
      <x:c r="L119" s="339"/>
      <x:c r="M119" s="339"/>
      <x:c r="N119" s="339"/>
      <x:c r="O119" s="339"/>
      <x:c r="P119" s="339"/>
      <x:c r="Q119" s="339"/>
      <x:c r="R119" s="339"/>
      <x:c r="S119" s="339"/>
      <x:c r="T119" s="339"/>
      <x:c r="U119" s="339"/>
      <x:c r="V119" s="339"/>
      <x:c r="W119" s="339"/>
      <x:c r="X119" s="339"/>
      <x:c r="Y119" s="339"/>
      <x:c r="Z119" s="339"/>
    </x:row>
    <x:row r="120">
      <x:c r="A120" s="28" t="str">
        <x:v>Treasury curve</x:v>
      </x:c>
      <x:c r="B120" s="28" t="str">
        <x:v>Treasury risk-free forward rate — Year 12</x:v>
      </x:c>
      <x:c r="C120" s="28" t="str">
        <x:v>%</x:v>
      </x:c>
      <x:c r="D120" s="491" t="n">
        <x:v>0.056</x:v>
      </x:c>
      <x:c r="E120" s="491" t="n">
        <x:v>0.056</x:v>
      </x:c>
      <x:c r="F120" s="491" t="n">
        <x:v>0.056</x:v>
      </x:c>
      <x:c r="G120" s="28" t="str">
        <x:v>S26</x:v>
      </x:c>
      <x:c r="H120" s="28" t="str">
        <x:v>Official; auditor confirmation pending</x:v>
      </x:c>
      <x:c r="I120" s="28" t="str">
        <x:v>30 June 2026 accounting-valuation curve.</x:v>
      </x:c>
      <x:c r="J120" s="339"/>
      <x:c r="K120" s="339"/>
      <x:c r="L120" s="339"/>
      <x:c r="M120" s="339"/>
      <x:c r="N120" s="339"/>
      <x:c r="O120" s="339"/>
      <x:c r="P120" s="339"/>
      <x:c r="Q120" s="339"/>
      <x:c r="R120" s="339"/>
      <x:c r="S120" s="339"/>
      <x:c r="T120" s="339"/>
      <x:c r="U120" s="339"/>
      <x:c r="V120" s="339"/>
      <x:c r="W120" s="339"/>
      <x:c r="X120" s="339"/>
      <x:c r="Y120" s="339"/>
      <x:c r="Z120" s="339"/>
    </x:row>
    <x:row r="121">
      <x:c r="A121" s="28" t="str">
        <x:v>Treasury curve</x:v>
      </x:c>
      <x:c r="B121" s="28" t="str">
        <x:v>Treasury risk-free forward rate — Year 13</x:v>
      </x:c>
      <x:c r="C121" s="28" t="str">
        <x:v>%</x:v>
      </x:c>
      <x:c r="D121" s="491" t="n">
        <x:v>0.0572</x:v>
      </x:c>
      <x:c r="E121" s="491" t="n">
        <x:v>0.0572</x:v>
      </x:c>
      <x:c r="F121" s="491" t="n">
        <x:v>0.0572</x:v>
      </x:c>
      <x:c r="G121" s="28" t="str">
        <x:v>S26</x:v>
      </x:c>
      <x:c r="H121" s="28" t="str">
        <x:v>Official; auditor confirmation pending</x:v>
      </x:c>
      <x:c r="I121" s="28" t="str">
        <x:v>30 June 2026 accounting-valuation curve.</x:v>
      </x:c>
      <x:c r="J121" s="339"/>
      <x:c r="K121" s="339"/>
      <x:c r="L121" s="339"/>
      <x:c r="M121" s="339"/>
      <x:c r="N121" s="339"/>
      <x:c r="O121" s="339"/>
      <x:c r="P121" s="339"/>
      <x:c r="Q121" s="339"/>
      <x:c r="R121" s="339"/>
      <x:c r="S121" s="339"/>
      <x:c r="T121" s="339"/>
      <x:c r="U121" s="339"/>
      <x:c r="V121" s="339"/>
      <x:c r="W121" s="339"/>
      <x:c r="X121" s="339"/>
      <x:c r="Y121" s="339"/>
      <x:c r="Z121" s="339"/>
    </x:row>
    <x:row r="122">
      <x:c r="A122" s="28" t="str">
        <x:v>Treasury curve</x:v>
      </x:c>
      <x:c r="B122" s="28" t="str">
        <x:v>Treasury risk-free forward rate — Year 14</x:v>
      </x:c>
      <x:c r="C122" s="28" t="str">
        <x:v>%</x:v>
      </x:c>
      <x:c r="D122" s="491" t="n">
        <x:v>0.058</x:v>
      </x:c>
      <x:c r="E122" s="491" t="n">
        <x:v>0.058</x:v>
      </x:c>
      <x:c r="F122" s="491" t="n">
        <x:v>0.058</x:v>
      </x:c>
      <x:c r="G122" s="28" t="str">
        <x:v>S26</x:v>
      </x:c>
      <x:c r="H122" s="28" t="str">
        <x:v>Official; auditor confirmation pending</x:v>
      </x:c>
      <x:c r="I122" s="28" t="str">
        <x:v>30 June 2026 accounting-valuation curve.</x:v>
      </x:c>
      <x:c r="J122" s="339"/>
      <x:c r="K122" s="339"/>
      <x:c r="L122" s="339"/>
      <x:c r="M122" s="339"/>
      <x:c r="N122" s="339"/>
      <x:c r="O122" s="339"/>
      <x:c r="P122" s="339"/>
      <x:c r="Q122" s="339"/>
      <x:c r="R122" s="339"/>
      <x:c r="S122" s="339"/>
      <x:c r="T122" s="339"/>
      <x:c r="U122" s="339"/>
      <x:c r="V122" s="339"/>
      <x:c r="W122" s="339"/>
      <x:c r="X122" s="339"/>
      <x:c r="Y122" s="339"/>
      <x:c r="Z122" s="339"/>
    </x:row>
    <x:row r="123">
      <x:c r="A123" s="28" t="str">
        <x:v>Treasury curve</x:v>
      </x:c>
      <x:c r="B123" s="28" t="str">
        <x:v>Treasury risk-free forward rate — Year 15</x:v>
      </x:c>
      <x:c r="C123" s="28" t="str">
        <x:v>%</x:v>
      </x:c>
      <x:c r="D123" s="491" t="n">
        <x:v>0.0584</x:v>
      </x:c>
      <x:c r="E123" s="491" t="n">
        <x:v>0.0584</x:v>
      </x:c>
      <x:c r="F123" s="491" t="n">
        <x:v>0.0584</x:v>
      </x:c>
      <x:c r="G123" s="28" t="str">
        <x:v>S26</x:v>
      </x:c>
      <x:c r="H123" s="28" t="str">
        <x:v>Official; auditor confirmation pending</x:v>
      </x:c>
      <x:c r="I123" s="28" t="str">
        <x:v>30 June 2026 accounting-valuation curve.</x:v>
      </x:c>
      <x:c r="J123" s="339"/>
      <x:c r="K123" s="339"/>
      <x:c r="L123" s="339"/>
      <x:c r="M123" s="339"/>
      <x:c r="N123" s="339"/>
      <x:c r="O123" s="339"/>
      <x:c r="P123" s="339"/>
      <x:c r="Q123" s="339"/>
      <x:c r="R123" s="339"/>
      <x:c r="S123" s="339"/>
      <x:c r="T123" s="339"/>
      <x:c r="U123" s="339"/>
      <x:c r="V123" s="339"/>
      <x:c r="W123" s="339"/>
      <x:c r="X123" s="339"/>
      <x:c r="Y123" s="339"/>
      <x:c r="Z123" s="339"/>
    </x:row>
    <x:row r="124">
      <x:c r="A124" s="498" t="str">
        <x:v>Justice sensitivity</x:v>
      </x:c>
      <x:c r="B124" s="498" t="str">
        <x:v>Headline evidence justice rate</x:v>
      </x:c>
      <x:c r="C124" s="496" t="str">
        <x:v>% of averted cases</x:v>
      </x:c>
      <x:c r="D124" s="497" t="n">
        <x:v>0</x:v>
      </x:c>
      <x:c r="E124" s="497" t="n">
        <x:v>0</x:v>
      </x:c>
      <x:c r="F124" s="497" t="n">
        <x:v>0</x:v>
      </x:c>
      <x:c r="G124" s="496" t="str">
        <x:v>S04;S05</x:v>
      </x:c>
      <x:c r="H124" s="496" t="str">
        <x:v>Evidence case</x:v>
      </x:c>
      <x:c r="I124" s="496" t="str">
        <x:v>Justice value remains zero in the headline evidence-based case.</x:v>
      </x:c>
      <x:c r="J124" s="339"/>
      <x:c r="K124" s="339"/>
      <x:c r="L124" s="339"/>
      <x:c r="M124" s="339"/>
      <x:c r="N124" s="339"/>
      <x:c r="O124" s="339"/>
      <x:c r="P124" s="339"/>
      <x:c r="Q124" s="339"/>
      <x:c r="R124" s="339"/>
      <x:c r="S124" s="339"/>
      <x:c r="T124" s="339"/>
      <x:c r="U124" s="339"/>
      <x:c r="V124" s="339"/>
      <x:c r="W124" s="339"/>
      <x:c r="X124" s="339"/>
      <x:c r="Y124" s="339"/>
      <x:c r="Z124" s="339"/>
    </x:row>
    <x:row r="125">
      <x:c r="A125" s="28" t="str">
        <x:v>Justice sensitivity</x:v>
      </x:c>
      <x:c r="B125" s="28" t="str">
        <x:v>Low justice sensitivity</x:v>
      </x:c>
      <x:c r="C125" s="28" t="str">
        <x:v>% of averted cases</x:v>
      </x:c>
      <x:c r="D125" s="493" t="n">
        <x:v>0.005</x:v>
      </x:c>
      <x:c r="E125" s="493" t="n">
        <x:v>0.005</x:v>
      </x:c>
      <x:c r="F125" s="493" t="n">
        <x:v>0.005</x:v>
      </x:c>
      <x:c r="G125" s="28" t="str">
        <x:v>A17</x:v>
      </x:c>
      <x:c r="H125" s="28" t="str">
        <x:v>Illustrative only</x:v>
      </x:c>
      <x:c r="I125" s="28" t="str">
        <x:v>Not a measured programme effect.</x:v>
      </x:c>
      <x:c r="J125" s="339"/>
      <x:c r="K125" s="339"/>
      <x:c r="L125" s="339"/>
      <x:c r="M125" s="339"/>
      <x:c r="N125" s="339"/>
      <x:c r="O125" s="339"/>
      <x:c r="P125" s="339"/>
      <x:c r="Q125" s="339"/>
      <x:c r="R125" s="339"/>
      <x:c r="S125" s="339"/>
      <x:c r="T125" s="339"/>
      <x:c r="U125" s="339"/>
      <x:c r="V125" s="339"/>
      <x:c r="W125" s="339"/>
      <x:c r="X125" s="339"/>
      <x:c r="Y125" s="339"/>
      <x:c r="Z125" s="339"/>
    </x:row>
    <x:row r="126">
      <x:c r="A126" s="28" t="str">
        <x:v>Justice sensitivity</x:v>
      </x:c>
      <x:c r="B126" s="28" t="str">
        <x:v>Central justice sensitivity</x:v>
      </x:c>
      <x:c r="C126" s="28" t="str">
        <x:v>% of averted cases</x:v>
      </x:c>
      <x:c r="D126" s="493" t="n">
        <x:v>0.01</x:v>
      </x:c>
      <x:c r="E126" s="493" t="n">
        <x:v>0.01</x:v>
      </x:c>
      <x:c r="F126" s="493" t="n">
        <x:v>0.01</x:v>
      </x:c>
      <x:c r="G126" s="28" t="str">
        <x:v>A17</x:v>
      </x:c>
      <x:c r="H126" s="28" t="str">
        <x:v>Illustrative only</x:v>
      </x:c>
      <x:c r="I126" s="28" t="str">
        <x:v>Not a measured programme effect.</x:v>
      </x:c>
      <x:c r="J126" s="339"/>
      <x:c r="K126" s="339"/>
      <x:c r="L126" s="339"/>
      <x:c r="M126" s="339"/>
      <x:c r="N126" s="339"/>
      <x:c r="O126" s="339"/>
      <x:c r="P126" s="339"/>
      <x:c r="Q126" s="339"/>
      <x:c r="R126" s="339"/>
      <x:c r="S126" s="339"/>
      <x:c r="T126" s="339"/>
      <x:c r="U126" s="339"/>
      <x:c r="V126" s="339"/>
      <x:c r="W126" s="339"/>
      <x:c r="X126" s="339"/>
      <x:c r="Y126" s="339"/>
      <x:c r="Z126" s="339"/>
    </x:row>
    <x:row r="127">
      <x:c r="A127" s="28" t="str">
        <x:v>Justice sensitivity</x:v>
      </x:c>
      <x:c r="B127" s="28" t="str">
        <x:v>High justice sensitivity</x:v>
      </x:c>
      <x:c r="C127" s="28" t="str">
        <x:v>% of averted cases</x:v>
      </x:c>
      <x:c r="D127" s="493" t="n">
        <x:v>0.02</x:v>
      </x:c>
      <x:c r="E127" s="493" t="n">
        <x:v>0.02</x:v>
      </x:c>
      <x:c r="F127" s="493" t="n">
        <x:v>0.02</x:v>
      </x:c>
      <x:c r="G127" s="28" t="str">
        <x:v>A17</x:v>
      </x:c>
      <x:c r="H127" s="28" t="str">
        <x:v>Illustrative only</x:v>
      </x:c>
      <x:c r="I127" s="28" t="str">
        <x:v>Not a measured programme effect.</x:v>
      </x:c>
      <x:c r="J127" s="339"/>
      <x:c r="K127" s="339"/>
      <x:c r="L127" s="339"/>
      <x:c r="M127" s="339"/>
      <x:c r="N127" s="339"/>
      <x:c r="O127" s="339"/>
      <x:c r="P127" s="339"/>
      <x:c r="Q127" s="339"/>
      <x:c r="R127" s="339"/>
      <x:c r="S127" s="339"/>
      <x:c r="T127" s="339"/>
      <x:c r="U127" s="339"/>
      <x:c r="V127" s="339"/>
      <x:c r="W127" s="339"/>
      <x:c r="X127" s="339"/>
      <x:c r="Y127" s="339"/>
      <x:c r="Z127" s="339"/>
    </x:row>
    <x:row r="128">
      <x:c r="A128" s="28" t="str">
        <x:v>Justice sensitivity</x:v>
      </x:c>
      <x:c r="B128" s="28" t="str">
        <x:v>Prisoner-years avoided per applicable case</x:v>
      </x:c>
      <x:c r="C128" s="28" t="str">
        <x:v>years</x:v>
      </x:c>
      <x:c r="D128" s="495" t="n">
        <x:v>1</x:v>
      </x:c>
      <x:c r="E128" s="495" t="n">
        <x:v>1</x:v>
      </x:c>
      <x:c r="F128" s="495" t="n">
        <x:v>1</x:v>
      </x:c>
      <x:c r="G128" s="28" t="str">
        <x:v>A17</x:v>
      </x:c>
      <x:c r="H128" s="28" t="str">
        <x:v>Illustrative only</x:v>
      </x:c>
      <x:c r="I128" s="28" t="str">
        <x:v>One sentenced prisoner-year for each applicable case.</x:v>
      </x:c>
      <x:c r="J128" s="339"/>
      <x:c r="K128" s="339"/>
      <x:c r="L128" s="339"/>
      <x:c r="M128" s="339"/>
      <x:c r="N128" s="339"/>
      <x:c r="O128" s="339"/>
      <x:c r="P128" s="339"/>
      <x:c r="Q128" s="339"/>
      <x:c r="R128" s="339"/>
      <x:c r="S128" s="339"/>
      <x:c r="T128" s="339"/>
      <x:c r="U128" s="339"/>
      <x:c r="V128" s="339"/>
      <x:c r="W128" s="339"/>
      <x:c r="X128" s="339"/>
      <x:c r="Y128" s="339"/>
      <x:c r="Z128" s="339"/>
    </x:row>
    <x:row r="129">
      <x:c r="A129" s="28" t="str">
        <x:v>Justice sensitivity</x:v>
      </x:c>
      <x:c r="B129" s="28" t="str">
        <x:v>CBAx sentenced-prisoner-year resource value</x:v>
      </x:c>
      <x:c r="C129" s="28" t="str">
        <x:v>NZD/year</x:v>
      </x:c>
      <x:c r="D129" s="48" t="n">
        <x:v>211350</x:v>
      </x:c>
      <x:c r="E129" s="48" t="n">
        <x:v>211350</x:v>
      </x:c>
      <x:c r="F129" s="48" t="n">
        <x:v>211350</x:v>
      </x:c>
      <x:c r="G129" s="28" t="str">
        <x:v>S21</x:v>
      </x:c>
      <x:c r="H129" s="28" t="str">
        <x:v>Official CBAx value</x:v>
      </x:c>
      <x:c r="I129" s="28" t="str">
        <x:v>Resource-value sensitivity; not necessarily a cashable marginal saving.</x:v>
      </x:c>
      <x:c r="J129" s="339"/>
      <x:c r="K129" s="339"/>
      <x:c r="L129" s="339"/>
      <x:c r="M129" s="339"/>
      <x:c r="N129" s="339"/>
      <x:c r="O129" s="339"/>
      <x:c r="P129" s="339"/>
      <x:c r="Q129" s="339"/>
      <x:c r="R129" s="339"/>
      <x:c r="S129" s="339"/>
      <x:c r="T129" s="339"/>
      <x:c r="U129" s="339"/>
      <x:c r="V129" s="339"/>
      <x:c r="W129" s="339"/>
      <x:c r="X129" s="339"/>
      <x:c r="Y129" s="339"/>
      <x:c r="Z129" s="339"/>
    </x:row>
    <x:row r="130">
      <x:c r="A130" s="28" t="str">
        <x:v>Justice sensitivity</x:v>
      </x:c>
      <x:c r="B130" s="28" t="str">
        <x:v>Corrections sentenced-prisoner annualised average cost</x:v>
      </x:c>
      <x:c r="C130" s="28" t="str">
        <x:v>NZD/year</x:v>
      </x:c>
      <x:c r="D130" s="48" t="n">
        <x:v>201480</x:v>
      </x:c>
      <x:c r="E130" s="48" t="n">
        <x:v>201480</x:v>
      </x:c>
      <x:c r="F130" s="48" t="n">
        <x:v>201480</x:v>
      </x:c>
      <x:c r="G130" s="28" t="str">
        <x:v>S31</x:v>
      </x:c>
      <x:c r="H130" s="28" t="str">
        <x:v>Official annual report</x:v>
      </x:c>
      <x:c r="I130" s="28" t="str">
        <x:v>$552 per person per day × 365; includes overhead and fixed costs.</x:v>
      </x:c>
      <x:c r="J130" s="339"/>
      <x:c r="K130" s="339"/>
      <x:c r="L130" s="339"/>
      <x:c r="M130" s="339"/>
      <x:c r="N130" s="339"/>
      <x:c r="O130" s="339"/>
      <x:c r="P130" s="339"/>
      <x:c r="Q130" s="339"/>
      <x:c r="R130" s="339"/>
      <x:c r="S130" s="339"/>
      <x:c r="T130" s="339"/>
      <x:c r="U130" s="339"/>
      <x:c r="V130" s="339"/>
      <x:c r="W130" s="339"/>
      <x:c r="X130" s="339"/>
      <x:c r="Y130" s="339"/>
      <x:c r="Z130" s="339"/>
    </x:row>
    <x:row r="131">
      <x:c r="A131" s="28" t="str">
        <x:v>Justice sensitivity</x:v>
      </x:c>
      <x:c r="B131" s="28" t="str">
        <x:v>Cashable Corrections saving rate</x:v>
      </x:c>
      <x:c r="C131" s="28" t="str">
        <x:v>% of resource value</x:v>
      </x:c>
      <x:c r="D131" s="491" t="n">
        <x:v>0</x:v>
      </x:c>
      <x:c r="E131" s="491" t="n">
        <x:v>0</x:v>
      </x:c>
      <x:c r="F131" s="491" t="n">
        <x:v>0</x:v>
      </x:c>
      <x:c r="G131" s="28" t="str">
        <x:v>S31</x:v>
      </x:c>
      <x:c r="H131" s="28" t="str">
        <x:v>Zero central</x:v>
      </x:c>
      <x:c r="I131" s="28" t="str">
        <x:v>Remain zero until a defensible marginal-cost estimate and capacity response are established.</x:v>
      </x:c>
      <x:c r="J131" s="339"/>
      <x:c r="K131" s="339"/>
      <x:c r="L131" s="339"/>
      <x:c r="M131" s="339"/>
      <x:c r="N131" s="339"/>
      <x:c r="O131" s="339"/>
      <x:c r="P131" s="339"/>
      <x:c r="Q131" s="339"/>
      <x:c r="R131" s="339"/>
      <x:c r="S131" s="339"/>
      <x:c r="T131" s="339"/>
      <x:c r="U131" s="339"/>
      <x:c r="V131" s="339"/>
      <x:c r="W131" s="339"/>
      <x:c r="X131" s="339"/>
      <x:c r="Y131" s="339"/>
      <x:c r="Z131" s="339"/>
    </x:row>
    <x:row r="132">
      <x:c r="A132" s="339" t="str">
        <x:v>Justice sensitivity</x:v>
      </x:c>
      <x:c r="B132" s="339" t="str">
        <x:v>Cashable Corrections saving rate</x:v>
      </x:c>
      <x:c r="C132" s="339" t="str">
        <x:v>% of resource value</x:v>
      </x:c>
      <x:c r="D132" s="339" t="n">
        <x:v>0</x:v>
      </x:c>
      <x:c r="E132" s="339" t="n">
        <x:v>0</x:v>
      </x:c>
      <x:c r="F132" s="339" t="n">
        <x:v>0</x:v>
      </x:c>
      <x:c r="G132" s="339" t="str">
        <x:v>S31</x:v>
      </x:c>
      <x:c r="H132" s="339" t="str">
        <x:v>Zero central</x:v>
      </x:c>
      <x:c r="I132" s="339" t="str">
        <x:v>Remain zero until a defensible marginal-cost estimate and capacity response are established.</x:v>
      </x:c>
      <x:c r="J132" s="339"/>
      <x:c r="K132" s="339"/>
      <x:c r="L132" s="339"/>
      <x:c r="M132" s="339"/>
      <x:c r="N132" s="339"/>
      <x:c r="O132" s="339"/>
      <x:c r="P132" s="339"/>
      <x:c r="Q132" s="339"/>
      <x:c r="R132" s="339"/>
      <x:c r="S132" s="339"/>
      <x:c r="T132" s="339"/>
      <x:c r="U132" s="339"/>
      <x:c r="V132" s="339"/>
      <x:c r="W132" s="339"/>
      <x:c r="X132" s="339"/>
      <x:c r="Y132" s="339"/>
      <x:c r="Z132" s="339"/>
    </x:row>
    <x:row r="133">
      <x:c r="A133" s="890" t="str">
        <x:v>Human capital</x:v>
      </x:c>
      <x:c r="B133" s="890" t="str">
        <x:v>Annual national entrant / exit cohort</x:v>
      </x:c>
      <x:c r="C133" s="889" t="str">
        <x:v>people</x:v>
      </x:c>
      <x:c r="D133" s="884" t="n">
        <x:f>D32/D33</x:f>
        <x:v>62348.6</x:v>
      </x:c>
      <x:c r="E133" s="884" t="n">
        <x:f>E32/E33</x:f>
        <x:v>62348.6</x:v>
      </x:c>
      <x:c r="F133" s="884" t="n">
        <x:f>F32/F33</x:f>
        <x:v>62348.6</x:v>
      </x:c>
      <x:c r="G133" s="889" t="str">
        <x:v>S08</x:v>
      </x:c>
      <x:c r="H133" s="889" t="str">
        <x:v>Calculated</x:v>
      </x:c>
      <x:c r="I133" s="889" t="str">
        <x:v>Eligible student stock divided by programme years.</x:v>
      </x:c>
      <x:c r="J133" s="339"/>
      <x:c r="K133" s="339"/>
      <x:c r="L133" s="339"/>
      <x:c r="M133" s="339"/>
      <x:c r="N133" s="339"/>
      <x:c r="O133" s="339"/>
      <x:c r="P133" s="339"/>
      <x:c r="Q133" s="339"/>
      <x:c r="R133" s="339"/>
      <x:c r="S133" s="339"/>
      <x:c r="T133" s="339"/>
      <x:c r="U133" s="339"/>
      <x:c r="V133" s="339"/>
      <x:c r="W133" s="339"/>
      <x:c r="X133" s="339"/>
      <x:c r="Y133" s="339"/>
      <x:c r="Z133" s="339"/>
    </x:row>
    <x:row r="134">
      <x:c r="A134" s="28" t="str">
        <x:v>Human capital</x:v>
      </x:c>
      <x:c r="B134" s="28" t="str">
        <x:v>Whole-cohort affected participant share</x:v>
      </x:c>
      <x:c r="C134" s="28" t="str">
        <x:v>% of broad cohort</x:v>
      </x:c>
      <x:c r="D134" s="885" t="n">
        <x:v>0.35</x:v>
      </x:c>
      <x:c r="E134" s="885" t="n">
        <x:v>0.5</x:v>
      </x:c>
      <x:c r="F134" s="885" t="n">
        <x:v>0.7</x:v>
      </x:c>
      <x:c r="G134" s="28" t="str">
        <x:v>A18</x:v>
      </x:c>
      <x:c r="H134" s="28" t="str">
        <x:v>Scenario assumption</x:v>
      </x:c>
      <x:c r="I134" s="28" t="str">
        <x:v>Does not assume the same effect for every participant.</x:v>
      </x:c>
      <x:c r="J134" s="339"/>
      <x:c r="K134" s="339"/>
      <x:c r="L134" s="339"/>
      <x:c r="M134" s="339"/>
      <x:c r="N134" s="339"/>
      <x:c r="O134" s="339"/>
      <x:c r="P134" s="339"/>
      <x:c r="Q134" s="339"/>
      <x:c r="R134" s="339"/>
      <x:c r="S134" s="339"/>
      <x:c r="T134" s="339"/>
      <x:c r="U134" s="339"/>
      <x:c r="V134" s="339"/>
      <x:c r="W134" s="339"/>
      <x:c r="X134" s="339"/>
      <x:c r="Y134" s="339"/>
      <x:c r="Z134" s="339"/>
    </x:row>
    <x:row r="135">
      <x:c r="A135" s="28" t="str">
        <x:v>Human capital</x:v>
      </x:c>
      <x:c r="B135" s="28" t="str">
        <x:v>Labour-market entry age</x:v>
      </x:c>
      <x:c r="C135" s="28" t="str">
        <x:v>age</x:v>
      </x:c>
      <x:c r="D135" s="886" t="n">
        <x:v>22</x:v>
      </x:c>
      <x:c r="E135" s="886" t="n">
        <x:v>21</x:v>
      </x:c>
      <x:c r="F135" s="886" t="n">
        <x:v>20</x:v>
      </x:c>
      <x:c r="G135" s="28" t="str">
        <x:v>A18</x:v>
      </x:c>
      <x:c r="H135" s="28" t="str">
        <x:v>Scenario assumption</x:v>
      </x:c>
      <x:c r="I135" s="28" t="str">
        <x:v>Entry age after school, tertiary or vocational transition.</x:v>
      </x:c>
      <x:c r="J135" s="339"/>
      <x:c r="K135" s="339"/>
      <x:c r="L135" s="339"/>
      <x:c r="M135" s="339"/>
      <x:c r="N135" s="339"/>
      <x:c r="O135" s="339"/>
      <x:c r="P135" s="339"/>
      <x:c r="Q135" s="339"/>
      <x:c r="R135" s="339"/>
      <x:c r="S135" s="339"/>
      <x:c r="T135" s="339"/>
      <x:c r="U135" s="339"/>
      <x:c r="V135" s="339"/>
      <x:c r="W135" s="339"/>
      <x:c r="X135" s="339"/>
      <x:c r="Y135" s="339"/>
      <x:c r="Z135" s="339"/>
    </x:row>
    <x:row r="136">
      <x:c r="A136" s="28" t="str">
        <x:v>Human capital</x:v>
      </x:c>
      <x:c r="B136" s="28" t="str">
        <x:v>Working-life end age</x:v>
      </x:c>
      <x:c r="C136" s="28" t="str">
        <x:v>age</x:v>
      </x:c>
      <x:c r="D136" s="886" t="n">
        <x:v>60</x:v>
      </x:c>
      <x:c r="E136" s="886" t="n">
        <x:v>64</x:v>
      </x:c>
      <x:c r="F136" s="886" t="n">
        <x:v>65</x:v>
      </x:c>
      <x:c r="G136" s="28" t="str">
        <x:v>A18</x:v>
      </x:c>
      <x:c r="H136" s="28" t="str">
        <x:v>Scenario assumption</x:v>
      </x:c>
      <x:c r="I136" s="28" t="str">
        <x:v>Earnings model stops at this age.</x:v>
      </x:c>
      <x:c r="J136" s="339"/>
      <x:c r="K136" s="339"/>
      <x:c r="L136" s="339"/>
      <x:c r="M136" s="339"/>
      <x:c r="N136" s="339"/>
      <x:c r="O136" s="339"/>
      <x:c r="P136" s="339"/>
      <x:c r="Q136" s="339"/>
      <x:c r="R136" s="339"/>
      <x:c r="S136" s="339"/>
      <x:c r="T136" s="339"/>
      <x:c r="U136" s="339"/>
      <x:c r="V136" s="339"/>
      <x:c r="W136" s="339"/>
      <x:c r="X136" s="339"/>
      <x:c r="Y136" s="339"/>
      <x:c r="Z136" s="339"/>
    </x:row>
    <x:row r="137">
      <x:c r="A137" s="28" t="str">
        <x:v>Human capital</x:v>
      </x:c>
      <x:c r="B137" s="28" t="str">
        <x:v>Employment probability</x:v>
      </x:c>
      <x:c r="C137" s="28" t="str">
        <x:v>%</x:v>
      </x:c>
      <x:c r="D137" s="885" t="n">
        <x:v>0.75</x:v>
      </x:c>
      <x:c r="E137" s="885" t="n">
        <x:v>0.85</x:v>
      </x:c>
      <x:c r="F137" s="885" t="n">
        <x:v>0.9</x:v>
      </x:c>
      <x:c r="G137" s="28" t="str">
        <x:v>S41;A18</x:v>
      </x:c>
      <x:c r="H137" s="28" t="str">
        <x:v>Scenario assumption</x:v>
      </x:c>
      <x:c r="I137" s="28" t="str">
        <x:v>Applied to hourly earnings because the official earnings series covers employed adults.</x:v>
      </x:c>
      <x:c r="J137" s="339"/>
      <x:c r="K137" s="339"/>
      <x:c r="L137" s="339"/>
      <x:c r="M137" s="339"/>
      <x:c r="N137" s="339"/>
      <x:c r="O137" s="339"/>
      <x:c r="P137" s="339"/>
      <x:c r="Q137" s="339"/>
      <x:c r="R137" s="339"/>
      <x:c r="S137" s="339"/>
      <x:c r="T137" s="339"/>
      <x:c r="U137" s="339"/>
      <x:c r="V137" s="339"/>
      <x:c r="W137" s="339"/>
      <x:c r="X137" s="339"/>
      <x:c r="Y137" s="339"/>
      <x:c r="Z137" s="339"/>
    </x:row>
    <x:row r="138">
      <x:c r="A138" s="28" t="str">
        <x:v>Human capital</x:v>
      </x:c>
      <x:c r="B138" s="28" t="str">
        <x:v>Usual paid hours per week</x:v>
      </x:c>
      <x:c r="C138" s="28" t="str">
        <x:v>hours/week</x:v>
      </x:c>
      <x:c r="D138" s="886" t="n">
        <x:v>32</x:v>
      </x:c>
      <x:c r="E138" s="886" t="n">
        <x:v>37</x:v>
      </x:c>
      <x:c r="F138" s="886" t="n">
        <x:v>38.25</x:v>
      </x:c>
      <x:c r="G138" s="28" t="str">
        <x:v>S41;S47</x:v>
      </x:c>
      <x:c r="H138" s="28" t="str">
        <x:v>Official anchor plus sensitivity</x:v>
      </x:c>
      <x:c r="I138" s="28" t="str">
        <x:v>37 hours is the 2024 labour-force anchor; 38.25 is the March 2025 FTE paid-hours cross-check.</x:v>
      </x:c>
      <x:c r="J138" s="339"/>
      <x:c r="K138" s="339"/>
      <x:c r="L138" s="339"/>
      <x:c r="M138" s="339"/>
      <x:c r="N138" s="339"/>
      <x:c r="O138" s="339"/>
      <x:c r="P138" s="339"/>
      <x:c r="Q138" s="339"/>
      <x:c r="R138" s="339"/>
      <x:c r="S138" s="339"/>
      <x:c r="T138" s="339"/>
      <x:c r="U138" s="339"/>
      <x:c r="V138" s="339"/>
      <x:c r="W138" s="339"/>
      <x:c r="X138" s="339"/>
      <x:c r="Y138" s="339"/>
      <x:c r="Z138" s="339"/>
    </x:row>
    <x:row r="139">
      <x:c r="A139" s="28" t="str">
        <x:v>Human capital</x:v>
      </x:c>
      <x:c r="B139" s="28" t="str">
        <x:v>Paid weeks per year</x:v>
      </x:c>
      <x:c r="C139" s="28" t="str">
        <x:v>weeks/year</x:v>
      </x:c>
      <x:c r="D139" s="886" t="n">
        <x:v>48</x:v>
      </x:c>
      <x:c r="E139" s="886" t="n">
        <x:v>52</x:v>
      </x:c>
      <x:c r="F139" s="886" t="n">
        <x:v>52</x:v>
      </x:c>
      <x:c r="G139" s="28" t="str">
        <x:v>A18</x:v>
      </x:c>
      <x:c r="H139" s="28" t="str">
        <x:v>Scenario assumption</x:v>
      </x:c>
      <x:c r="I139" s="28" t="str">
        <x:v>Paid employment convention; hours are still adjusted through employment probability.</x:v>
      </x:c>
      <x:c r="J139" s="339"/>
      <x:c r="K139" s="339"/>
      <x:c r="L139" s="339"/>
      <x:c r="M139" s="339"/>
      <x:c r="N139" s="339"/>
      <x:c r="O139" s="339"/>
      <x:c r="P139" s="339"/>
      <x:c r="Q139" s="339"/>
      <x:c r="R139" s="339"/>
      <x:c r="S139" s="339"/>
      <x:c r="T139" s="339"/>
      <x:c r="U139" s="339"/>
      <x:c r="V139" s="339"/>
      <x:c r="W139" s="339"/>
      <x:c r="X139" s="339"/>
      <x:c r="Y139" s="339"/>
      <x:c r="Z139" s="339"/>
    </x:row>
    <x:row r="140">
      <x:c r="A140" s="28" t="str">
        <x:v>Human capital</x:v>
      </x:c>
      <x:c r="B140" s="28" t="str">
        <x:v>Real wage growth</x:v>
      </x:c>
      <x:c r="C140" s="28" t="str">
        <x:v>%/year</x:v>
      </x:c>
      <x:c r="D140" s="885" t="n">
        <x:v>0</x:v>
      </x:c>
      <x:c r="E140" s="885" t="n">
        <x:v>0.005</x:v>
      </x:c>
      <x:c r="F140" s="885" t="n">
        <x:v>0.01</x:v>
      </x:c>
      <x:c r="G140" s="28" t="str">
        <x:v>A18</x:v>
      </x:c>
      <x:c r="H140" s="28" t="str">
        <x:v>Scenario assumption</x:v>
      </x:c>
      <x:c r="I140" s="28" t="str">
        <x:v>Separate from the age-earnings profile.</x:v>
      </x:c>
      <x:c r="J140" s="339"/>
      <x:c r="K140" s="339"/>
      <x:c r="L140" s="339"/>
      <x:c r="M140" s="339"/>
      <x:c r="N140" s="339"/>
      <x:c r="O140" s="339"/>
      <x:c r="P140" s="339"/>
      <x:c r="Q140" s="339"/>
      <x:c r="R140" s="339"/>
      <x:c r="S140" s="339"/>
      <x:c r="T140" s="339"/>
      <x:c r="U140" s="339"/>
      <x:c r="V140" s="339"/>
      <x:c r="W140" s="339"/>
      <x:c r="X140" s="339"/>
      <x:c r="Y140" s="339"/>
      <x:c r="Z140" s="339"/>
    </x:row>
    <x:row r="141">
      <x:c r="A141" s="28" t="str">
        <x:v>Human capital</x:v>
      </x:c>
      <x:c r="B141" s="28" t="str">
        <x:v>Domestic retention</x:v>
      </x:c>
      <x:c r="C141" s="28" t="str">
        <x:v>%</x:v>
      </x:c>
      <x:c r="D141" s="885" t="n">
        <x:v>0.75</x:v>
      </x:c>
      <x:c r="E141" s="885" t="n">
        <x:v>0.9</x:v>
      </x:c>
      <x:c r="F141" s="885" t="n">
        <x:v>0.95</x:v>
      </x:c>
      <x:c r="G141" s="28" t="str">
        <x:v>S44;A18</x:v>
      </x:c>
      <x:c r="H141" s="28" t="str">
        <x:v>Scenario assumption</x:v>
      </x:c>
      <x:c r="I141" s="28" t="str">
        <x:v>Allows for migration and overseas earnings that do not directly expand the domestic tax base.</x:v>
      </x:c>
      <x:c r="J141" s="339"/>
      <x:c r="K141" s="339"/>
      <x:c r="L141" s="339"/>
      <x:c r="M141" s="339"/>
      <x:c r="N141" s="339"/>
      <x:c r="O141" s="339"/>
      <x:c r="P141" s="339"/>
      <x:c r="Q141" s="339"/>
      <x:c r="R141" s="339"/>
      <x:c r="S141" s="339"/>
      <x:c r="T141" s="339"/>
      <x:c r="U141" s="339"/>
      <x:c r="V141" s="339"/>
      <x:c r="W141" s="339"/>
      <x:c r="X141" s="339"/>
      <x:c r="Y141" s="339"/>
      <x:c r="Z141" s="339"/>
    </x:row>
    <x:row r="142">
      <x:c r="A142" s="28" t="str">
        <x:v>Human capital</x:v>
      </x:c>
      <x:c r="B142" s="28" t="str">
        <x:v>Programme attribution factor</x:v>
      </x:c>
      <x:c r="C142" s="28" t="str">
        <x:v>%</x:v>
      </x:c>
      <x:c r="D142" s="885" t="n">
        <x:v>0.4</x:v>
      </x:c>
      <x:c r="E142" s="885" t="n">
        <x:v>0.6</x:v>
      </x:c>
      <x:c r="F142" s="885" t="n">
        <x:v>0.75</x:v>
      </x:c>
      <x:c r="G142" s="28" t="str">
        <x:v>S05;A18</x:v>
      </x:c>
      <x:c r="H142" s="28" t="str">
        <x:v>Scenario assumption</x:v>
      </x:c>
      <x:c r="I142" s="28" t="str">
        <x:v>Causal attribution must be established by the pilot.</x:v>
      </x:c>
      <x:c r="J142" s="339"/>
      <x:c r="K142" s="339"/>
      <x:c r="L142" s="339"/>
      <x:c r="M142" s="339"/>
      <x:c r="N142" s="339"/>
      <x:c r="O142" s="339"/>
      <x:c r="P142" s="339"/>
      <x:c r="Q142" s="339"/>
      <x:c r="R142" s="339"/>
      <x:c r="S142" s="339"/>
      <x:c r="T142" s="339"/>
      <x:c r="U142" s="339"/>
      <x:c r="V142" s="339"/>
      <x:c r="W142" s="339"/>
      <x:c r="X142" s="339"/>
      <x:c r="Y142" s="339"/>
      <x:c r="Z142" s="339"/>
    </x:row>
    <x:row r="143">
      <x:c r="A143" s="28" t="str">
        <x:v>Human capital</x:v>
      </x:c>
      <x:c r="B143" s="28" t="str">
        <x:v>Persistence / fade-out factor</x:v>
      </x:c>
      <x:c r="C143" s="28" t="str">
        <x:v>%</x:v>
      </x:c>
      <x:c r="D143" s="885" t="n">
        <x:v>0.6</x:v>
      </x:c>
      <x:c r="E143" s="885" t="n">
        <x:v>0.8</x:v>
      </x:c>
      <x:c r="F143" s="885" t="n">
        <x:v>0.9</x:v>
      </x:c>
      <x:c r="G143" s="28" t="str">
        <x:v>S05;A18</x:v>
      </x:c>
      <x:c r="H143" s="28" t="str">
        <x:v>Scenario assumption</x:v>
      </x:c>
      <x:c r="I143" s="28" t="str">
        <x:v>Long-run persistence of earnings effects.</x:v>
      </x:c>
      <x:c r="J143" s="339"/>
      <x:c r="K143" s="339"/>
      <x:c r="L143" s="339"/>
      <x:c r="M143" s="339"/>
      <x:c r="N143" s="339"/>
      <x:c r="O143" s="339"/>
      <x:c r="P143" s="339"/>
      <x:c r="Q143" s="339"/>
      <x:c r="R143" s="339"/>
      <x:c r="S143" s="339"/>
      <x:c r="T143" s="339"/>
      <x:c r="U143" s="339"/>
      <x:c r="V143" s="339"/>
      <x:c r="W143" s="339"/>
      <x:c r="X143" s="339"/>
      <x:c r="Y143" s="339"/>
      <x:c r="Z143" s="339"/>
    </x:row>
    <x:row r="144">
      <x:c r="A144" s="28" t="str">
        <x:v>Human capital</x:v>
      </x:c>
      <x:c r="B144" s="28" t="str">
        <x:v>Deadweight adjustment</x:v>
      </x:c>
      <x:c r="C144" s="28" t="str">
        <x:v>%</x:v>
      </x:c>
      <x:c r="D144" s="885" t="n">
        <x:v>0.25</x:v>
      </x:c>
      <x:c r="E144" s="885" t="n">
        <x:v>0.15</x:v>
      </x:c>
      <x:c r="F144" s="885" t="n">
        <x:v>0.1</x:v>
      </x:c>
      <x:c r="G144" s="28" t="str">
        <x:v>S05;A18</x:v>
      </x:c>
      <x:c r="H144" s="28" t="str">
        <x:v>Scenario assumption</x:v>
      </x:c>
      <x:c r="I144" s="28" t="str">
        <x:v>Removes outcomes that would have occurred without the programme.</x:v>
      </x:c>
      <x:c r="J144" s="339"/>
      <x:c r="K144" s="339"/>
      <x:c r="L144" s="339"/>
      <x:c r="M144" s="339"/>
      <x:c r="N144" s="339"/>
      <x:c r="O144" s="339"/>
      <x:c r="P144" s="339"/>
      <x:c r="Q144" s="339"/>
      <x:c r="R144" s="339"/>
      <x:c r="S144" s="339"/>
      <x:c r="T144" s="339"/>
      <x:c r="U144" s="339"/>
      <x:c r="V144" s="339"/>
      <x:c r="W144" s="339"/>
      <x:c r="X144" s="339"/>
      <x:c r="Y144" s="339"/>
      <x:c r="Z144" s="339"/>
    </x:row>
    <x:row r="145">
      <x:c r="A145" s="28" t="str">
        <x:v>Human capital</x:v>
      </x:c>
      <x:c r="B145" s="28" t="str">
        <x:v>Worker displacement adjustment</x:v>
      </x:c>
      <x:c r="C145" s="28" t="str">
        <x:v>%</x:v>
      </x:c>
      <x:c r="D145" s="885" t="n">
        <x:v>0.15</x:v>
      </x:c>
      <x:c r="E145" s="885" t="n">
        <x:v>0.05</x:v>
      </x:c>
      <x:c r="F145" s="885" t="n">
        <x:v>0.02</x:v>
      </x:c>
      <x:c r="G145" s="28" t="str">
        <x:v>S05;A18</x:v>
      </x:c>
      <x:c r="H145" s="28" t="str">
        <x:v>Scenario assumption</x:v>
      </x:c>
      <x:c r="I145" s="28" t="str">
        <x:v>Allows for substitution between programme and non-programme workers.</x:v>
      </x:c>
      <x:c r="J145" s="339"/>
      <x:c r="K145" s="339"/>
      <x:c r="L145" s="339"/>
      <x:c r="M145" s="339"/>
      <x:c r="N145" s="339"/>
      <x:c r="O145" s="339"/>
      <x:c r="P145" s="339"/>
      <x:c r="Q145" s="339"/>
      <x:c r="R145" s="339"/>
      <x:c r="S145" s="339"/>
      <x:c r="T145" s="339"/>
      <x:c r="U145" s="339"/>
      <x:c r="V145" s="339"/>
      <x:c r="W145" s="339"/>
      <x:c r="X145" s="339"/>
      <x:c r="Y145" s="339"/>
      <x:c r="Z145" s="339"/>
    </x:row>
    <x:row r="146">
      <x:c r="A146" s="28" t="str">
        <x:v>Human capital</x:v>
      </x:c>
      <x:c r="B146" s="28" t="str">
        <x:v>General-equilibrium haircut</x:v>
      </x:c>
      <x:c r="C146" s="28" t="str">
        <x:v>%</x:v>
      </x:c>
      <x:c r="D146" s="885" t="n">
        <x:v>0.15</x:v>
      </x:c>
      <x:c r="E146" s="885" t="n">
        <x:v>0.05</x:v>
      </x:c>
      <x:c r="F146" s="885" t="n">
        <x:v>0</x:v>
      </x:c>
      <x:c r="G146" s="28" t="str">
        <x:v>A19</x:v>
      </x:c>
      <x:c r="H146" s="28" t="str">
        <x:v>Scenario assumption</x:v>
      </x:c>
      <x:c r="I146" s="28" t="str">
        <x:v>Occupation oversupply, wage suppression, credential inflation, automation and capacity effects.</x:v>
      </x:c>
      <x:c r="J146" s="339"/>
      <x:c r="K146" s="339"/>
      <x:c r="L146" s="339"/>
      <x:c r="M146" s="339"/>
      <x:c r="N146" s="339"/>
      <x:c r="O146" s="339"/>
      <x:c r="P146" s="339"/>
      <x:c r="Q146" s="339"/>
      <x:c r="R146" s="339"/>
      <x:c r="S146" s="339"/>
      <x:c r="T146" s="339"/>
      <x:c r="U146" s="339"/>
      <x:c r="V146" s="339"/>
      <x:c r="W146" s="339"/>
      <x:c r="X146" s="339"/>
      <x:c r="Y146" s="339"/>
      <x:c r="Z146" s="339"/>
    </x:row>
    <x:row r="147">
      <x:c r="A147" s="28" t="str">
        <x:v>Human capital</x:v>
      </x:c>
      <x:c r="B147" s="28" t="str">
        <x:v>Early-career hourly-earnings factor</x:v>
      </x:c>
      <x:c r="C147" s="28" t="str">
        <x:v>% of age 25–34 rate</x:v>
      </x:c>
      <x:c r="D147" s="885" t="n">
        <x:v>0.65</x:v>
      </x:c>
      <x:c r="E147" s="885" t="n">
        <x:v>0.75</x:v>
      </x:c>
      <x:c r="F147" s="885" t="n">
        <x:v>0.85</x:v>
      </x:c>
      <x:c r="G147" s="28" t="str">
        <x:v>A18</x:v>
      </x:c>
      <x:c r="H147" s="28" t="str">
        <x:v>Scenario assumption</x:v>
      </x:c>
      <x:c r="I147" s="28" t="str">
        <x:v>Applied from labour-market entry to age 24.</x:v>
      </x:c>
      <x:c r="J147" s="339"/>
      <x:c r="K147" s="339"/>
      <x:c r="L147" s="339"/>
      <x:c r="M147" s="339"/>
      <x:c r="N147" s="339"/>
      <x:c r="O147" s="339"/>
      <x:c r="P147" s="339"/>
      <x:c r="Q147" s="339"/>
      <x:c r="R147" s="339"/>
      <x:c r="S147" s="339"/>
      <x:c r="T147" s="339"/>
      <x:c r="U147" s="339"/>
      <x:c r="V147" s="339"/>
      <x:c r="W147" s="339"/>
      <x:c r="X147" s="339"/>
      <x:c r="Y147" s="339"/>
      <x:c r="Z147" s="339"/>
    </x:row>
    <x:row r="148">
      <x:c r="A148" s="28" t="str">
        <x:v>Human capital</x:v>
      </x:c>
      <x:c r="B148" s="28" t="str">
        <x:v>Broad-cohort benefit-receipt reduction</x:v>
      </x:c>
      <x:c r="C148" s="28" t="str">
        <x:v>% of adjusted people</x:v>
      </x:c>
      <x:c r="D148" s="885" t="n">
        <x:v>0.0025</x:v>
      </x:c>
      <x:c r="E148" s="885" t="n">
        <x:v>0.005</x:v>
      </x:c>
      <x:c r="F148" s="885" t="n">
        <x:v>0.01</x:v>
      </x:c>
      <x:c r="G148" s="28" t="str">
        <x:v>A18</x:v>
      </x:c>
      <x:c r="H148" s="28" t="str">
        <x:v>Scenario assumption</x:v>
      </x:c>
      <x:c r="I148" s="28" t="str">
        <x:v>Excludes sustained-NEET cases already valued through Pacheco and Dye.</x:v>
      </x:c>
      <x:c r="J148" s="339"/>
      <x:c r="K148" s="339"/>
      <x:c r="L148" s="339"/>
      <x:c r="M148" s="339"/>
      <x:c r="N148" s="339"/>
      <x:c r="O148" s="339"/>
      <x:c r="P148" s="339"/>
      <x:c r="Q148" s="339"/>
      <x:c r="R148" s="339"/>
      <x:c r="S148" s="339"/>
      <x:c r="T148" s="339"/>
      <x:c r="U148" s="339"/>
      <x:c r="V148" s="339"/>
      <x:c r="W148" s="339"/>
      <x:c r="X148" s="339"/>
      <x:c r="Y148" s="339"/>
      <x:c r="Z148" s="339"/>
    </x:row>
    <x:row r="149">
      <x:c r="A149" s="28" t="str">
        <x:v>Human capital</x:v>
      </x:c>
      <x:c r="B149" s="28" t="str">
        <x:v>Benefit-receipt years avoided</x:v>
      </x:c>
      <x:c r="C149" s="28" t="str">
        <x:v>years</x:v>
      </x:c>
      <x:c r="D149" s="886" t="n">
        <x:v>1</x:v>
      </x:c>
      <x:c r="E149" s="886" t="n">
        <x:v>2</x:v>
      </x:c>
      <x:c r="F149" s="886" t="n">
        <x:v>3</x:v>
      </x:c>
      <x:c r="G149" s="28" t="str">
        <x:v>A18</x:v>
      </x:c>
      <x:c r="H149" s="28" t="str">
        <x:v>Scenario assumption</x:v>
      </x:c>
      <x:c r="I149" s="28" t="str">
        <x:v>Short-duration fiscal sensitivity.</x:v>
      </x:c>
      <x:c r="J149" s="339"/>
      <x:c r="K149" s="339"/>
      <x:c r="L149" s="339"/>
      <x:c r="M149" s="339"/>
      <x:c r="N149" s="339"/>
      <x:c r="O149" s="339"/>
      <x:c r="P149" s="339"/>
      <x:c r="Q149" s="339"/>
      <x:c r="R149" s="339"/>
      <x:c r="S149" s="339"/>
      <x:c r="T149" s="339"/>
      <x:c r="U149" s="339"/>
      <x:c r="V149" s="339"/>
      <x:c r="W149" s="339"/>
      <x:c r="X149" s="339"/>
      <x:c r="Y149" s="339"/>
      <x:c r="Z149" s="339"/>
    </x:row>
    <x:row r="150">
      <x:c r="A150" s="28" t="str">
        <x:v>Human capital</x:v>
      </x:c>
      <x:c r="B150" s="28" t="str">
        <x:v>2025 to 2026 earnings conversion factor</x:v>
      </x:c>
      <x:c r="C150" s="28" t="str">
        <x:v>x</x:v>
      </x:c>
      <x:c r="D150" s="887" t="n">
        <x:v>1.027</x:v>
      </x:c>
      <x:c r="E150" s="887" t="n">
        <x:v>1.027</x:v>
      </x:c>
      <x:c r="F150" s="887" t="n">
        <x:v>1.027</x:v>
      </x:c>
      <x:c r="G150" s="28" t="str">
        <x:v>S26;S34</x:v>
      </x:c>
      <x:c r="H150" s="28" t="str">
        <x:v>Official planning factor</x:v>
      </x:c>
      <x:c r="I150" s="28" t="str">
        <x:v>Uses the first-year Treasury CPI assumption for a 2026-dollar planning base.</x:v>
      </x:c>
      <x:c r="J150" s="339"/>
      <x:c r="K150" s="339"/>
      <x:c r="L150" s="339"/>
      <x:c r="M150" s="339"/>
      <x:c r="N150" s="339"/>
      <x:c r="O150" s="339"/>
      <x:c r="P150" s="339"/>
      <x:c r="Q150" s="339"/>
      <x:c r="R150" s="339"/>
      <x:c r="S150" s="339"/>
      <x:c r="T150" s="339"/>
      <x:c r="U150" s="339"/>
      <x:c r="V150" s="339"/>
      <x:c r="W150" s="339"/>
      <x:c r="X150" s="339"/>
      <x:c r="Y150" s="339"/>
      <x:c r="Z150" s="339"/>
    </x:row>
    <x:row r="151">
      <x:c r="A151" s="890" t="str">
        <x:v>Earnings profile</x:v>
      </x:c>
      <x:c r="B151" s="890" t="str">
        <x:v>Median hourly earnings — age 25–34</x:v>
      </x:c>
      <x:c r="C151" s="889" t="str">
        <x:v>NZD/hour</x:v>
      </x:c>
      <x:c r="D151" s="891" t="n">
        <x:v>34.88</x:v>
      </x:c>
      <x:c r="E151" s="891" t="n">
        <x:v>34.88</x:v>
      </x:c>
      <x:c r="F151" s="891" t="n">
        <x:v>34.88</x:v>
      </x:c>
      <x:c r="G151" s="889" t="str">
        <x:v>S34</x:v>
      </x:c>
      <x:c r="H151" s="889" t="str">
        <x:v>Official 2025 statistic</x:v>
      </x:c>
      <x:c r="I151" s="889" t="str">
        <x:v>Employed adults, all qualification levels.</x:v>
      </x:c>
      <x:c r="J151" s="339"/>
      <x:c r="K151" s="339"/>
      <x:c r="L151" s="339"/>
      <x:c r="M151" s="339"/>
      <x:c r="N151" s="339"/>
      <x:c r="O151" s="339"/>
      <x:c r="P151" s="339"/>
      <x:c r="Q151" s="339"/>
      <x:c r="R151" s="339"/>
      <x:c r="S151" s="339"/>
      <x:c r="T151" s="339"/>
      <x:c r="U151" s="339"/>
      <x:c r="V151" s="339"/>
      <x:c r="W151" s="339"/>
      <x:c r="X151" s="339"/>
      <x:c r="Y151" s="339"/>
      <x:c r="Z151" s="339"/>
    </x:row>
    <x:row r="152">
      <x:c r="A152" s="28" t="str">
        <x:v>Earnings profile</x:v>
      </x:c>
      <x:c r="B152" s="28" t="str">
        <x:v>Median hourly earnings — age 35–44</x:v>
      </x:c>
      <x:c r="C152" s="28" t="str">
        <x:v>NZD/hour</x:v>
      </x:c>
      <x:c r="D152" s="888" t="n">
        <x:v>39.45</x:v>
      </x:c>
      <x:c r="E152" s="888" t="n">
        <x:v>39.45</x:v>
      </x:c>
      <x:c r="F152" s="888" t="n">
        <x:v>39.45</x:v>
      </x:c>
      <x:c r="G152" s="28" t="str">
        <x:v>S34</x:v>
      </x:c>
      <x:c r="H152" s="28" t="str">
        <x:v>Official 2025 statistic</x:v>
      </x:c>
      <x:c r="I152" s="28" t="str">
        <x:v>Employed adults, all qualification levels.</x:v>
      </x:c>
      <x:c r="J152" s="339"/>
      <x:c r="K152" s="339"/>
      <x:c r="L152" s="339"/>
      <x:c r="M152" s="339"/>
      <x:c r="N152" s="339"/>
      <x:c r="O152" s="339"/>
      <x:c r="P152" s="339"/>
      <x:c r="Q152" s="339"/>
      <x:c r="R152" s="339"/>
      <x:c r="S152" s="339"/>
      <x:c r="T152" s="339"/>
      <x:c r="U152" s="339"/>
      <x:c r="V152" s="339"/>
      <x:c r="W152" s="339"/>
      <x:c r="X152" s="339"/>
      <x:c r="Y152" s="339"/>
      <x:c r="Z152" s="339"/>
    </x:row>
    <x:row r="153">
      <x:c r="A153" s="28" t="str">
        <x:v>Earnings profile</x:v>
      </x:c>
      <x:c r="B153" s="28" t="str">
        <x:v>Median hourly earnings — age 45–54</x:v>
      </x:c>
      <x:c r="C153" s="28" t="str">
        <x:v>NZD/hour</x:v>
      </x:c>
      <x:c r="D153" s="888" t="n">
        <x:v>39.5</x:v>
      </x:c>
      <x:c r="E153" s="888" t="n">
        <x:v>39.5</x:v>
      </x:c>
      <x:c r="F153" s="888" t="n">
        <x:v>39.5</x:v>
      </x:c>
      <x:c r="G153" s="28" t="str">
        <x:v>S34</x:v>
      </x:c>
      <x:c r="H153" s="28" t="str">
        <x:v>Official 2025 statistic</x:v>
      </x:c>
      <x:c r="I153" s="28" t="str">
        <x:v>Employed adults, all qualification levels.</x:v>
      </x:c>
      <x:c r="J153" s="339"/>
      <x:c r="K153" s="339"/>
      <x:c r="L153" s="339"/>
      <x:c r="M153" s="339"/>
      <x:c r="N153" s="339"/>
      <x:c r="O153" s="339"/>
      <x:c r="P153" s="339"/>
      <x:c r="Q153" s="339"/>
      <x:c r="R153" s="339"/>
      <x:c r="S153" s="339"/>
      <x:c r="T153" s="339"/>
      <x:c r="U153" s="339"/>
      <x:c r="V153" s="339"/>
      <x:c r="W153" s="339"/>
      <x:c r="X153" s="339"/>
      <x:c r="Y153" s="339"/>
      <x:c r="Z153" s="339"/>
    </x:row>
    <x:row r="154">
      <x:c r="A154" s="28" t="str">
        <x:v>Earnings profile</x:v>
      </x:c>
      <x:c r="B154" s="28" t="str">
        <x:v>Median hourly earnings — age 55–64</x:v>
      </x:c>
      <x:c r="C154" s="28" t="str">
        <x:v>NZD/hour</x:v>
      </x:c>
      <x:c r="D154" s="888" t="n">
        <x:v>37</x:v>
      </x:c>
      <x:c r="E154" s="888" t="n">
        <x:v>37</x:v>
      </x:c>
      <x:c r="F154" s="888" t="n">
        <x:v>37</x:v>
      </x:c>
      <x:c r="G154" s="28" t="str">
        <x:v>S34</x:v>
      </x:c>
      <x:c r="H154" s="28" t="str">
        <x:v>Official 2025 statistic</x:v>
      </x:c>
      <x:c r="I154" s="28" t="str">
        <x:v>Employed adults, all qualification levels.</x:v>
      </x:c>
      <x:c r="J154" s="339"/>
      <x:c r="K154" s="339"/>
      <x:c r="L154" s="339"/>
      <x:c r="M154" s="339"/>
      <x:c r="N154" s="339"/>
      <x:c r="O154" s="339"/>
      <x:c r="P154" s="339"/>
      <x:c r="Q154" s="339"/>
      <x:c r="R154" s="339"/>
      <x:c r="S154" s="339"/>
      <x:c r="T154" s="339"/>
      <x:c r="U154" s="339"/>
      <x:c r="V154" s="339"/>
      <x:c r="W154" s="339"/>
      <x:c r="X154" s="339"/>
      <x:c r="Y154" s="339"/>
      <x:c r="Z154" s="339"/>
    </x:row>
    <x:row r="155">
      <x:c r="A155" s="890" t="str">
        <x:v>Tax and ACC</x:v>
      </x:c>
      <x:c r="B155" s="890" t="str">
        <x:v>Income-tax threshold 1</x:v>
      </x:c>
      <x:c r="C155" s="889" t="str">
        <x:v>NZD/year</x:v>
      </x:c>
      <x:c r="D155" s="891" t="n">
        <x:v>15600</x:v>
      </x:c>
      <x:c r="E155" s="891" t="n">
        <x:v>15600</x:v>
      </x:c>
      <x:c r="F155" s="891" t="n">
        <x:v>15600</x:v>
      </x:c>
      <x:c r="G155" s="889" t="str">
        <x:v>S42</x:v>
      </x:c>
      <x:c r="H155" s="889" t="str">
        <x:v>Official 2026 rate</x:v>
      </x:c>
      <x:c r="I155" s="889" t="str">
        <x:v>Taxable income up to threshold.</x:v>
      </x:c>
      <x:c r="J155" s="339"/>
      <x:c r="K155" s="339"/>
      <x:c r="L155" s="339"/>
      <x:c r="M155" s="339"/>
      <x:c r="N155" s="339"/>
      <x:c r="O155" s="339"/>
      <x:c r="P155" s="339"/>
      <x:c r="Q155" s="339"/>
      <x:c r="R155" s="339"/>
      <x:c r="S155" s="339"/>
      <x:c r="T155" s="339"/>
      <x:c r="U155" s="339"/>
      <x:c r="V155" s="339"/>
      <x:c r="W155" s="339"/>
      <x:c r="X155" s="339"/>
      <x:c r="Y155" s="339"/>
      <x:c r="Z155" s="339"/>
    </x:row>
    <x:row r="156">
      <x:c r="A156" s="28" t="str">
        <x:v>Tax and ACC</x:v>
      </x:c>
      <x:c r="B156" s="28" t="str">
        <x:v>Income-tax rate 1</x:v>
      </x:c>
      <x:c r="C156" s="28" t="str">
        <x:v>%</x:v>
      </x:c>
      <x:c r="D156" s="885" t="n">
        <x:v>0.105</x:v>
      </x:c>
      <x:c r="E156" s="885" t="n">
        <x:v>0.105</x:v>
      </x:c>
      <x:c r="F156" s="885" t="n">
        <x:v>0.105</x:v>
      </x:c>
      <x:c r="G156" s="28" t="str">
        <x:v>S42</x:v>
      </x:c>
      <x:c r="H156" s="28" t="str">
        <x:v>Official 2026 rate</x:v>
      </x:c>
      <x:c r="I156" s="28" t="str">
        <x:v>Current individual rate.</x:v>
      </x:c>
      <x:c r="J156" s="339"/>
      <x:c r="K156" s="339"/>
      <x:c r="L156" s="339"/>
      <x:c r="M156" s="339"/>
      <x:c r="N156" s="339"/>
      <x:c r="O156" s="339"/>
      <x:c r="P156" s="339"/>
      <x:c r="Q156" s="339"/>
      <x:c r="R156" s="339"/>
      <x:c r="S156" s="339"/>
      <x:c r="T156" s="339"/>
      <x:c r="U156" s="339"/>
      <x:c r="V156" s="339"/>
      <x:c r="W156" s="339"/>
      <x:c r="X156" s="339"/>
      <x:c r="Y156" s="339"/>
      <x:c r="Z156" s="339"/>
    </x:row>
    <x:row r="157">
      <x:c r="A157" s="28" t="str">
        <x:v>Tax and ACC</x:v>
      </x:c>
      <x:c r="B157" s="28" t="str">
        <x:v>Income-tax threshold 2</x:v>
      </x:c>
      <x:c r="C157" s="28" t="str">
        <x:v>NZD/year</x:v>
      </x:c>
      <x:c r="D157" s="888" t="n">
        <x:v>53500</x:v>
      </x:c>
      <x:c r="E157" s="888" t="n">
        <x:v>53500</x:v>
      </x:c>
      <x:c r="F157" s="888" t="n">
        <x:v>53500</x:v>
      </x:c>
      <x:c r="G157" s="28" t="str">
        <x:v>S42</x:v>
      </x:c>
      <x:c r="H157" s="28" t="str">
        <x:v>Official 2026 rate</x:v>
      </x:c>
      <x:c r="I157" s="28" t="str">
        <x:v>Taxable income upper bound.</x:v>
      </x:c>
      <x:c r="J157" s="339"/>
      <x:c r="K157" s="339"/>
      <x:c r="L157" s="339"/>
      <x:c r="M157" s="339"/>
      <x:c r="N157" s="339"/>
      <x:c r="O157" s="339"/>
      <x:c r="P157" s="339"/>
      <x:c r="Q157" s="339"/>
      <x:c r="R157" s="339"/>
      <x:c r="S157" s="339"/>
      <x:c r="T157" s="339"/>
      <x:c r="U157" s="339"/>
      <x:c r="V157" s="339"/>
      <x:c r="W157" s="339"/>
      <x:c r="X157" s="339"/>
      <x:c r="Y157" s="339"/>
      <x:c r="Z157" s="339"/>
    </x:row>
    <x:row r="158">
      <x:c r="A158" s="28" t="str">
        <x:v>Tax and ACC</x:v>
      </x:c>
      <x:c r="B158" s="28" t="str">
        <x:v>Income-tax rate 2</x:v>
      </x:c>
      <x:c r="C158" s="28" t="str">
        <x:v>%</x:v>
      </x:c>
      <x:c r="D158" s="885" t="n">
        <x:v>0.175</x:v>
      </x:c>
      <x:c r="E158" s="885" t="n">
        <x:v>0.175</x:v>
      </x:c>
      <x:c r="F158" s="885" t="n">
        <x:v>0.175</x:v>
      </x:c>
      <x:c r="G158" s="28" t="str">
        <x:v>S42</x:v>
      </x:c>
      <x:c r="H158" s="28" t="str">
        <x:v>Official 2026 rate</x:v>
      </x:c>
      <x:c r="I158" s="28" t="str">
        <x:v>Current individual rate.</x:v>
      </x:c>
      <x:c r="J158" s="339"/>
      <x:c r="K158" s="339"/>
      <x:c r="L158" s="339"/>
      <x:c r="M158" s="339"/>
      <x:c r="N158" s="339"/>
      <x:c r="O158" s="339"/>
      <x:c r="P158" s="339"/>
      <x:c r="Q158" s="339"/>
      <x:c r="R158" s="339"/>
      <x:c r="S158" s="339"/>
      <x:c r="T158" s="339"/>
      <x:c r="U158" s="339"/>
      <x:c r="V158" s="339"/>
      <x:c r="W158" s="339"/>
      <x:c r="X158" s="339"/>
      <x:c r="Y158" s="339"/>
      <x:c r="Z158" s="339"/>
    </x:row>
    <x:row r="159">
      <x:c r="A159" s="28" t="str">
        <x:v>Tax and ACC</x:v>
      </x:c>
      <x:c r="B159" s="28" t="str">
        <x:v>Income-tax threshold 3</x:v>
      </x:c>
      <x:c r="C159" s="28" t="str">
        <x:v>NZD/year</x:v>
      </x:c>
      <x:c r="D159" s="888" t="n">
        <x:v>78100</x:v>
      </x:c>
      <x:c r="E159" s="888" t="n">
        <x:v>78100</x:v>
      </x:c>
      <x:c r="F159" s="888" t="n">
        <x:v>78100</x:v>
      </x:c>
      <x:c r="G159" s="28" t="str">
        <x:v>S42</x:v>
      </x:c>
      <x:c r="H159" s="28" t="str">
        <x:v>Official 2026 rate</x:v>
      </x:c>
      <x:c r="I159" s="28" t="str">
        <x:v>Taxable income upper bound.</x:v>
      </x:c>
      <x:c r="J159" s="339"/>
      <x:c r="K159" s="339"/>
      <x:c r="L159" s="339"/>
      <x:c r="M159" s="339"/>
      <x:c r="N159" s="339"/>
      <x:c r="O159" s="339"/>
      <x:c r="P159" s="339"/>
      <x:c r="Q159" s="339"/>
      <x:c r="R159" s="339"/>
      <x:c r="S159" s="339"/>
      <x:c r="T159" s="339"/>
      <x:c r="U159" s="339"/>
      <x:c r="V159" s="339"/>
      <x:c r="W159" s="339"/>
      <x:c r="X159" s="339"/>
      <x:c r="Y159" s="339"/>
      <x:c r="Z159" s="339"/>
    </x:row>
    <x:row r="160">
      <x:c r="A160" s="28" t="str">
        <x:v>Tax and ACC</x:v>
      </x:c>
      <x:c r="B160" s="28" t="str">
        <x:v>Income-tax rate 3</x:v>
      </x:c>
      <x:c r="C160" s="28" t="str">
        <x:v>%</x:v>
      </x:c>
      <x:c r="D160" s="885" t="n">
        <x:v>0.3</x:v>
      </x:c>
      <x:c r="E160" s="885" t="n">
        <x:v>0.3</x:v>
      </x:c>
      <x:c r="F160" s="885" t="n">
        <x:v>0.3</x:v>
      </x:c>
      <x:c r="G160" s="28" t="str">
        <x:v>S42</x:v>
      </x:c>
      <x:c r="H160" s="28" t="str">
        <x:v>Official 2026 rate</x:v>
      </x:c>
      <x:c r="I160" s="28" t="str">
        <x:v>Current individual rate.</x:v>
      </x:c>
      <x:c r="J160" s="339"/>
      <x:c r="K160" s="339"/>
      <x:c r="L160" s="339"/>
      <x:c r="M160" s="339"/>
      <x:c r="N160" s="339"/>
      <x:c r="O160" s="339"/>
      <x:c r="P160" s="339"/>
      <x:c r="Q160" s="339"/>
      <x:c r="R160" s="339"/>
      <x:c r="S160" s="339"/>
      <x:c r="T160" s="339"/>
      <x:c r="U160" s="339"/>
      <x:c r="V160" s="339"/>
      <x:c r="W160" s="339"/>
      <x:c r="X160" s="339"/>
      <x:c r="Y160" s="339"/>
      <x:c r="Z160" s="339"/>
    </x:row>
    <x:row r="161">
      <x:c r="A161" s="28" t="str">
        <x:v>Tax and ACC</x:v>
      </x:c>
      <x:c r="B161" s="28" t="str">
        <x:v>Income-tax threshold 4</x:v>
      </x:c>
      <x:c r="C161" s="28" t="str">
        <x:v>NZD/year</x:v>
      </x:c>
      <x:c r="D161" s="888" t="n">
        <x:v>180000</x:v>
      </x:c>
      <x:c r="E161" s="888" t="n">
        <x:v>180000</x:v>
      </x:c>
      <x:c r="F161" s="888" t="n">
        <x:v>180000</x:v>
      </x:c>
      <x:c r="G161" s="28" t="str">
        <x:v>S42</x:v>
      </x:c>
      <x:c r="H161" s="28" t="str">
        <x:v>Official 2026 rate</x:v>
      </x:c>
      <x:c r="I161" s="28" t="str">
        <x:v>Taxable income upper bound.</x:v>
      </x:c>
      <x:c r="J161" s="339"/>
      <x:c r="K161" s="339"/>
      <x:c r="L161" s="339"/>
      <x:c r="M161" s="339"/>
      <x:c r="N161" s="339"/>
      <x:c r="O161" s="339"/>
      <x:c r="P161" s="339"/>
      <x:c r="Q161" s="339"/>
      <x:c r="R161" s="339"/>
      <x:c r="S161" s="339"/>
      <x:c r="T161" s="339"/>
      <x:c r="U161" s="339"/>
      <x:c r="V161" s="339"/>
      <x:c r="W161" s="339"/>
      <x:c r="X161" s="339"/>
      <x:c r="Y161" s="339"/>
      <x:c r="Z161" s="339"/>
    </x:row>
    <x:row r="162">
      <x:c r="A162" s="28" t="str">
        <x:v>Tax and ACC</x:v>
      </x:c>
      <x:c r="B162" s="28" t="str">
        <x:v>Income-tax rate 4</x:v>
      </x:c>
      <x:c r="C162" s="28" t="str">
        <x:v>%</x:v>
      </x:c>
      <x:c r="D162" s="885" t="n">
        <x:v>0.33</x:v>
      </x:c>
      <x:c r="E162" s="885" t="n">
        <x:v>0.33</x:v>
      </x:c>
      <x:c r="F162" s="885" t="n">
        <x:v>0.33</x:v>
      </x:c>
      <x:c r="G162" s="28" t="str">
        <x:v>S42</x:v>
      </x:c>
      <x:c r="H162" s="28" t="str">
        <x:v>Official 2026 rate</x:v>
      </x:c>
      <x:c r="I162" s="28" t="str">
        <x:v>Current individual rate.</x:v>
      </x:c>
      <x:c r="J162" s="339"/>
      <x:c r="K162" s="339"/>
      <x:c r="L162" s="339"/>
      <x:c r="M162" s="339"/>
      <x:c r="N162" s="339"/>
      <x:c r="O162" s="339"/>
      <x:c r="P162" s="339"/>
      <x:c r="Q162" s="339"/>
      <x:c r="R162" s="339"/>
      <x:c r="S162" s="339"/>
      <x:c r="T162" s="339"/>
      <x:c r="U162" s="339"/>
      <x:c r="V162" s="339"/>
      <x:c r="W162" s="339"/>
      <x:c r="X162" s="339"/>
      <x:c r="Y162" s="339"/>
      <x:c r="Z162" s="339"/>
    </x:row>
    <x:row r="163">
      <x:c r="A163" s="28" t="str">
        <x:v>Tax and ACC</x:v>
      </x:c>
      <x:c r="B163" s="28" t="str">
        <x:v>Income-tax rate 5</x:v>
      </x:c>
      <x:c r="C163" s="28" t="str">
        <x:v>%</x:v>
      </x:c>
      <x:c r="D163" s="885" t="n">
        <x:v>0.39</x:v>
      </x:c>
      <x:c r="E163" s="885" t="n">
        <x:v>0.39</x:v>
      </x:c>
      <x:c r="F163" s="885" t="n">
        <x:v>0.39</x:v>
      </x:c>
      <x:c r="G163" s="28" t="str">
        <x:v>S42</x:v>
      </x:c>
      <x:c r="H163" s="28" t="str">
        <x:v>Official 2026 rate</x:v>
      </x:c>
      <x:c r="I163" s="28" t="str">
        <x:v>Taxable income above $180,000.</x:v>
      </x:c>
      <x:c r="J163" s="339"/>
      <x:c r="K163" s="339"/>
      <x:c r="L163" s="339"/>
      <x:c r="M163" s="339"/>
      <x:c r="N163" s="339"/>
      <x:c r="O163" s="339"/>
      <x:c r="P163" s="339"/>
      <x:c r="Q163" s="339"/>
      <x:c r="R163" s="339"/>
      <x:c r="S163" s="339"/>
      <x:c r="T163" s="339"/>
      <x:c r="U163" s="339"/>
      <x:c r="V163" s="339"/>
      <x:c r="W163" s="339"/>
      <x:c r="X163" s="339"/>
      <x:c r="Y163" s="339"/>
      <x:c r="Z163" s="339"/>
    </x:row>
    <x:row r="164">
      <x:c r="A164" s="28" t="str">
        <x:v>Tax and ACC</x:v>
      </x:c>
      <x:c r="B164" s="28" t="str">
        <x:v>ACC earners levy</x:v>
      </x:c>
      <x:c r="C164" s="28" t="str">
        <x:v>%</x:v>
      </x:c>
      <x:c r="D164" s="885" t="n">
        <x:v>0.0175</x:v>
      </x:c>
      <x:c r="E164" s="885" t="n">
        <x:v>0.0175</x:v>
      </x:c>
      <x:c r="F164" s="885" t="n">
        <x:v>0.0175</x:v>
      </x:c>
      <x:c r="G164" s="28" t="str">
        <x:v>S43</x:v>
      </x:c>
      <x:c r="H164" s="28" t="str">
        <x:v>Official 2026/27 rate</x:v>
      </x:c>
      <x:c r="I164" s="28" t="str">
        <x:v>Applied up to the maximum liable earnings.</x:v>
      </x:c>
      <x:c r="J164" s="339"/>
      <x:c r="K164" s="339"/>
      <x:c r="L164" s="339"/>
      <x:c r="M164" s="339"/>
      <x:c r="N164" s="339"/>
      <x:c r="O164" s="339"/>
      <x:c r="P164" s="339"/>
      <x:c r="Q164" s="339"/>
      <x:c r="R164" s="339"/>
      <x:c r="S164" s="339"/>
      <x:c r="T164" s="339"/>
      <x:c r="U164" s="339"/>
      <x:c r="V164" s="339"/>
      <x:c r="W164" s="339"/>
      <x:c r="X164" s="339"/>
      <x:c r="Y164" s="339"/>
      <x:c r="Z164" s="339"/>
    </x:row>
    <x:row r="165">
      <x:c r="A165" s="28" t="str">
        <x:v>Tax and ACC</x:v>
      </x:c>
      <x:c r="B165" s="28" t="str">
        <x:v>ACC maximum liable earnings</x:v>
      </x:c>
      <x:c r="C165" s="28" t="str">
        <x:v>NZD/year</x:v>
      </x:c>
      <x:c r="D165" s="888" t="n">
        <x:v>156641</x:v>
      </x:c>
      <x:c r="E165" s="888" t="n">
        <x:v>156641</x:v>
      </x:c>
      <x:c r="F165" s="888" t="n">
        <x:v>156641</x:v>
      </x:c>
      <x:c r="G165" s="28" t="str">
        <x:v>S43</x:v>
      </x:c>
      <x:c r="H165" s="28" t="str">
        <x:v>Official 2026/27 threshold</x:v>
      </x:c>
      <x:c r="I165" s="28" t="str">
        <x:v>Maximum earnings subject to the earners levy.</x:v>
      </x:c>
      <x:c r="J165" s="339"/>
      <x:c r="K165" s="339"/>
      <x:c r="L165" s="339"/>
      <x:c r="M165" s="339"/>
      <x:c r="N165" s="339"/>
      <x:c r="O165" s="339"/>
      <x:c r="P165" s="339"/>
      <x:c r="Q165" s="339"/>
      <x:c r="R165" s="339"/>
      <x:c r="S165" s="339"/>
      <x:c r="T165" s="339"/>
      <x:c r="U165" s="339"/>
      <x:c r="V165" s="339"/>
      <x:c r="W165" s="339"/>
      <x:c r="X165" s="339"/>
      <x:c r="Y165" s="339"/>
      <x:c r="Z165" s="339"/>
    </x:row>
    <x:row r="166">
      <x:c r="A166" s="890" t="str">
        <x:v>Delivery design</x:v>
      </x:c>
      <x:c r="B166" s="890" t="str">
        <x:v>Universal-core payment proportion</x:v>
      </x:c>
      <x:c r="C166" s="889" t="str">
        <x:v>% of mature payment</x:v>
      </x:c>
      <x:c r="D166" s="892" t="n">
        <x:v>0.4</x:v>
      </x:c>
      <x:c r="E166" s="892" t="n">
        <x:v>0.5</x:v>
      </x:c>
      <x:c r="F166" s="892" t="n">
        <x:v>0.6</x:v>
      </x:c>
      <x:c r="G166" s="889" t="str">
        <x:v>A20</x:v>
      </x:c>
      <x:c r="H166" s="889" t="str">
        <x:v>Scenario assumption</x:v>
      </x:c>
      <x:c r="I166" s="889" t="str">
        <x:v>Core retains verified effort, immediate access and protected education capital at lower intensity.</x:v>
      </x:c>
      <x:c r="J166" s="339"/>
      <x:c r="K166" s="339"/>
      <x:c r="L166" s="339"/>
      <x:c r="M166" s="339"/>
      <x:c r="N166" s="339"/>
      <x:c r="O166" s="339"/>
      <x:c r="P166" s="339"/>
      <x:c r="Q166" s="339"/>
      <x:c r="R166" s="339"/>
      <x:c r="S166" s="339"/>
      <x:c r="T166" s="339"/>
      <x:c r="U166" s="339"/>
      <x:c r="V166" s="339"/>
      <x:c r="W166" s="339"/>
      <x:c r="X166" s="339"/>
      <x:c r="Y166" s="339"/>
      <x:c r="Z166" s="339"/>
    </x:row>
    <x:row r="167">
      <x:c r="A167" s="28" t="str">
        <x:v>Delivery design</x:v>
      </x:c>
      <x:c r="B167" s="28" t="str">
        <x:v>Universal-core non-payment cost proportion</x:v>
      </x:c>
      <x:c r="C167" s="28" t="str">
        <x:v>% of mature non-payment cost</x:v>
      </x:c>
      <x:c r="D167" s="885" t="n">
        <x:v>0.6</x:v>
      </x:c>
      <x:c r="E167" s="885" t="n">
        <x:v>0.7</x:v>
      </x:c>
      <x:c r="F167" s="885" t="n">
        <x:v>0.8</x:v>
      </x:c>
      <x:c r="G167" s="28" t="str">
        <x:v>A20</x:v>
      </x:c>
      <x:c r="H167" s="28" t="str">
        <x:v>Scenario assumption</x:v>
      </x:c>
      <x:c r="I167" s="28" t="str">
        <x:v>Baseline mentoring, pathway tools, technology and administration.</x:v>
      </x:c>
      <x:c r="J167" s="339"/>
      <x:c r="K167" s="339"/>
      <x:c r="L167" s="339"/>
      <x:c r="M167" s="339"/>
      <x:c r="N167" s="339"/>
      <x:c r="O167" s="339"/>
      <x:c r="P167" s="339"/>
      <x:c r="Q167" s="339"/>
      <x:c r="R167" s="339"/>
      <x:c r="S167" s="339"/>
      <x:c r="T167" s="339"/>
      <x:c r="U167" s="339"/>
      <x:c r="V167" s="339"/>
      <x:c r="W167" s="339"/>
      <x:c r="X167" s="339"/>
      <x:c r="Y167" s="339"/>
      <x:c r="Z167" s="339"/>
    </x:row>
    <x:row r="168">
      <x:c r="A168" s="28" t="str">
        <x:v>Delivery design</x:v>
      </x:c>
      <x:c r="B168" s="28" t="str">
        <x:v>Targeted accelerator share</x:v>
      </x:c>
      <x:c r="C168" s="28" t="str">
        <x:v>% of participants</x:v>
      </x:c>
      <x:c r="D168" s="885" t="n">
        <x:v>0.1</x:v>
      </x:c>
      <x:c r="E168" s="885" t="n">
        <x:v>0.2</x:v>
      </x:c>
      <x:c r="F168" s="885" t="n">
        <x:v>0.3</x:v>
      </x:c>
      <x:c r="G168" s="28" t="str">
        <x:v>A20</x:v>
      </x:c>
      <x:c r="H168" s="28" t="str">
        <x:v>Scenario assumption</x:v>
      </x:c>
      <x:c r="I168" s="28" t="str">
        <x:v>Additional intensity for participants with evidenced barriers or higher risk.</x:v>
      </x:c>
      <x:c r="J168" s="339"/>
      <x:c r="K168" s="339"/>
      <x:c r="L168" s="339"/>
      <x:c r="M168" s="339"/>
      <x:c r="N168" s="339"/>
      <x:c r="O168" s="339"/>
      <x:c r="P168" s="339"/>
      <x:c r="Q168" s="339"/>
      <x:c r="R168" s="339"/>
      <x:c r="S168" s="339"/>
      <x:c r="T168" s="339"/>
      <x:c r="U168" s="339"/>
      <x:c r="V168" s="339"/>
      <x:c r="W168" s="339"/>
      <x:c r="X168" s="339"/>
      <x:c r="Y168" s="339"/>
      <x:c r="Z168" s="339"/>
    </x:row>
    <x:row r="169">
      <x:c r="A169" s="28" t="str">
        <x:v>Delivery design</x:v>
      </x:c>
      <x:c r="B169" s="28" t="str">
        <x:v>Targeted accelerator incremental annual cost</x:v>
      </x:c>
      <x:c r="C169" s="28" t="str">
        <x:v>NZD/targeted participant</x:v>
      </x:c>
      <x:c r="D169" s="888" t="n">
        <x:v>2500</x:v>
      </x:c>
      <x:c r="E169" s="888" t="n">
        <x:v>4000</x:v>
      </x:c>
      <x:c r="F169" s="888" t="n">
        <x:v>6000</x:v>
      </x:c>
      <x:c r="G169" s="28" t="str">
        <x:v>A20</x:v>
      </x:c>
      <x:c r="H169" s="28" t="str">
        <x:v>Scenario assumption</x:v>
      </x:c>
      <x:c r="I169" s="28" t="str">
        <x:v>Tutoring, transport, devices, licences, tools, specialist support and matched capital.</x:v>
      </x:c>
      <x:c r="J169" s="339"/>
      <x:c r="K169" s="339"/>
      <x:c r="L169" s="339"/>
      <x:c r="M169" s="339"/>
      <x:c r="N169" s="339"/>
      <x:c r="O169" s="339"/>
      <x:c r="P169" s="339"/>
      <x:c r="Q169" s="339"/>
      <x:c r="R169" s="339"/>
      <x:c r="S169" s="339"/>
      <x:c r="T169" s="339"/>
      <x:c r="U169" s="339"/>
      <x:c r="V169" s="339"/>
      <x:c r="W169" s="339"/>
      <x:c r="X169" s="339"/>
      <x:c r="Y169" s="339"/>
      <x:c r="Z169" s="339"/>
    </x:row>
    <x:row r="170">
      <x:c r="A170" s="28" t="str">
        <x:v>Delivery design</x:v>
      </x:c>
      <x:c r="B170" s="28" t="str">
        <x:v>Universal-core NEET-benefit factor</x:v>
      </x:c>
      <x:c r="C170" s="28" t="str">
        <x:v>% of mature NEET benefit</x:v>
      </x:c>
      <x:c r="D170" s="885" t="n">
        <x:v>0.35</x:v>
      </x:c>
      <x:c r="E170" s="885" t="n">
        <x:v>0.5</x:v>
      </x:c>
      <x:c r="F170" s="885" t="n">
        <x:v>0.65</x:v>
      </x:c>
      <x:c r="G170" s="28" t="str">
        <x:v>A20</x:v>
      </x:c>
      <x:c r="H170" s="28" t="str">
        <x:v>Scenario assumption</x:v>
      </x:c>
      <x:c r="I170" s="28" t="str">
        <x:v>Core-only high-risk effect is deliberately lower than the full design.</x:v>
      </x:c>
      <x:c r="J170" s="339"/>
      <x:c r="K170" s="339"/>
      <x:c r="L170" s="339"/>
      <x:c r="M170" s="339"/>
      <x:c r="N170" s="339"/>
      <x:c r="O170" s="339"/>
      <x:c r="P170" s="339"/>
      <x:c r="Q170" s="339"/>
      <x:c r="R170" s="339"/>
      <x:c r="S170" s="339"/>
      <x:c r="T170" s="339"/>
      <x:c r="U170" s="339"/>
      <x:c r="V170" s="339"/>
      <x:c r="W170" s="339"/>
      <x:c r="X170" s="339"/>
      <x:c r="Y170" s="339"/>
      <x:c r="Z170" s="339"/>
    </x:row>
    <x:row r="171">
      <x:c r="A171" s="28" t="str">
        <x:v>Delivery design</x:v>
      </x:c>
      <x:c r="B171" s="28" t="str">
        <x:v>Core plus accelerator NEET-benefit factor</x:v>
      </x:c>
      <x:c r="C171" s="28" t="str">
        <x:v>% of mature NEET benefit</x:v>
      </x:c>
      <x:c r="D171" s="885" t="n">
        <x:v>0.75</x:v>
      </x:c>
      <x:c r="E171" s="885" t="n">
        <x:v>1</x:v>
      </x:c>
      <x:c r="F171" s="885" t="n">
        <x:v>1.1</x:v>
      </x:c>
      <x:c r="G171" s="28" t="str">
        <x:v>A20</x:v>
      </x:c>
      <x:c r="H171" s="28" t="str">
        <x:v>Scenario assumption — material uncertainty</x:v>
      </x:c>
      <x:c r="I171" s="28" t="str">
        <x:v>Central case retains 100% of the mature high-risk benefit. This is unproven and is tested at 25%, 50%, 75% and 100% in Delivery Scenarios.</x:v>
      </x:c>
      <x:c r="J171" s="339"/>
      <x:c r="K171" s="339"/>
      <x:c r="L171" s="339"/>
      <x:c r="M171" s="339"/>
      <x:c r="N171" s="339"/>
      <x:c r="O171" s="339"/>
      <x:c r="P171" s="339"/>
      <x:c r="Q171" s="339"/>
      <x:c r="R171" s="339"/>
      <x:c r="S171" s="339"/>
      <x:c r="T171" s="339"/>
      <x:c r="U171" s="339"/>
      <x:c r="V171" s="339"/>
      <x:c r="W171" s="339"/>
      <x:c r="X171" s="339"/>
      <x:c r="Y171" s="339"/>
      <x:c r="Z171" s="339"/>
    </x:row>
    <x:row r="172">
      <x:c r="A172" s="28" t="str">
        <x:v>Delivery design</x:v>
      </x:c>
      <x:c r="B172" s="28" t="str">
        <x:v>Universal-core earnings affected share</x:v>
      </x:c>
      <x:c r="C172" s="28" t="str">
        <x:v>% of broad cohort</x:v>
      </x:c>
      <x:c r="D172" s="885" t="n">
        <x:v>0.3</x:v>
      </x:c>
      <x:c r="E172" s="885" t="n">
        <x:v>0.45</x:v>
      </x:c>
      <x:c r="F172" s="885" t="n">
        <x:v>0.6</x:v>
      </x:c>
      <x:c r="G172" s="28" t="str">
        <x:v>A20</x:v>
      </x:c>
      <x:c r="H172" s="28" t="str">
        <x:v>Scenario assumption</x:v>
      </x:c>
      <x:c r="I172" s="28" t="str">
        <x:v>Broad but lower-intensity mechanism.</x:v>
      </x:c>
      <x:c r="J172" s="339"/>
      <x:c r="K172" s="339"/>
      <x:c r="L172" s="339"/>
      <x:c r="M172" s="339"/>
      <x:c r="N172" s="339"/>
      <x:c r="O172" s="339"/>
      <x:c r="P172" s="339"/>
      <x:c r="Q172" s="339"/>
      <x:c r="R172" s="339"/>
      <x:c r="S172" s="339"/>
      <x:c r="T172" s="339"/>
      <x:c r="U172" s="339"/>
      <x:c r="V172" s="339"/>
      <x:c r="W172" s="339"/>
      <x:c r="X172" s="339"/>
      <x:c r="Y172" s="339"/>
      <x:c r="Z172" s="339"/>
    </x:row>
    <x:row r="173">
      <x:c r="A173" s="28" t="str">
        <x:v>Delivery design</x:v>
      </x:c>
      <x:c r="B173" s="28" t="str">
        <x:v>Core plus accelerator earnings affected share</x:v>
      </x:c>
      <x:c r="C173" s="28" t="str">
        <x:v>% of broad cohort</x:v>
      </x:c>
      <x:c r="D173" s="885" t="n">
        <x:v>0.4</x:v>
      </x:c>
      <x:c r="E173" s="885" t="n">
        <x:v>0.55</x:v>
      </x:c>
      <x:c r="F173" s="885" t="n">
        <x:v>0.7</x:v>
      </x:c>
      <x:c r="G173" s="28" t="str">
        <x:v>A20</x:v>
      </x:c>
      <x:c r="H173" s="28" t="str">
        <x:v>Scenario assumption</x:v>
      </x:c>
      <x:c r="I173" s="28" t="str">
        <x:v>Core plus additional targeted intensity.</x:v>
      </x:c>
      <x:c r="J173" s="339"/>
      <x:c r="K173" s="339"/>
      <x:c r="L173" s="339"/>
      <x:c r="M173" s="339"/>
      <x:c r="N173" s="339"/>
      <x:c r="O173" s="339"/>
      <x:c r="P173" s="339"/>
      <x:c r="Q173" s="339"/>
      <x:c r="R173" s="339"/>
      <x:c r="S173" s="339"/>
      <x:c r="T173" s="339"/>
      <x:c r="U173" s="339"/>
      <x:c r="V173" s="339"/>
      <x:c r="W173" s="339"/>
      <x:c r="X173" s="339"/>
      <x:c r="Y173" s="339"/>
      <x:c r="Z173" s="339"/>
    </x:row>
    <x:row r="174">
      <x:c r="A174" s="28" t="str">
        <x:v>Delivery design</x:v>
      </x:c>
      <x:c r="B174" s="28" t="str">
        <x:v>Targeted-pilot earnings affected share</x:v>
      </x:c>
      <x:c r="C174" s="28" t="str">
        <x:v>% of pilot broad cohort</x:v>
      </x:c>
      <x:c r="D174" s="885" t="n">
        <x:v>0.45</x:v>
      </x:c>
      <x:c r="E174" s="885" t="n">
        <x:v>0.6</x:v>
      </x:c>
      <x:c r="F174" s="885" t="n">
        <x:v>0.75</x:v>
      </x:c>
      <x:c r="G174" s="28" t="str">
        <x:v>A20</x:v>
      </x:c>
      <x:c r="H174" s="28" t="str">
        <x:v>Scenario assumption</x:v>
      </x:c>
      <x:c r="I174" s="28" t="str">
        <x:v>Higher intensity applied to a bounded cohort.</x:v>
      </x:c>
      <x:c r="J174" s="339"/>
      <x:c r="K174" s="339"/>
      <x:c r="L174" s="339"/>
      <x:c r="M174" s="339"/>
      <x:c r="N174" s="339"/>
      <x:c r="O174" s="339"/>
      <x:c r="P174" s="339"/>
      <x:c r="Q174" s="339"/>
      <x:c r="R174" s="339"/>
      <x:c r="S174" s="339"/>
      <x:c r="T174" s="339"/>
      <x:c r="U174" s="339"/>
      <x:c r="V174" s="339"/>
      <x:c r="W174" s="339"/>
      <x:c r="X174" s="339"/>
      <x:c r="Y174" s="339"/>
      <x:c r="Z174" s="339"/>
    </x:row>
    <x:row r="175">
      <x:c r="A175" s="28" t="str">
        <x:v>Delivery design</x:v>
      </x:c>
      <x:c r="B175" s="28" t="str">
        <x:v>Mature-national earnings affected share</x:v>
      </x:c>
      <x:c r="C175" s="28" t="str">
        <x:v>% of broad cohort</x:v>
      </x:c>
      <x:c r="D175" s="885" t="n">
        <x:v>0.35</x:v>
      </x:c>
      <x:c r="E175" s="885" t="n">
        <x:v>0.5</x:v>
      </x:c>
      <x:c r="F175" s="885" t="n">
        <x:v>0.7</x:v>
      </x:c>
      <x:c r="G175" s="28" t="str">
        <x:v>A20</x:v>
      </x:c>
      <x:c r="H175" s="28" t="str">
        <x:v>Scenario assumption</x:v>
      </x:c>
      <x:c r="I175" s="28" t="str">
        <x:v>Central mature design sensitivity.</x:v>
      </x:c>
      <x:c r="J175" s="339"/>
      <x:c r="K175" s="339"/>
      <x:c r="L175" s="339"/>
      <x:c r="M175" s="339"/>
      <x:c r="N175" s="339"/>
      <x:c r="O175" s="339"/>
      <x:c r="P175" s="339"/>
      <x:c r="Q175" s="339"/>
      <x:c r="R175" s="339"/>
      <x:c r="S175" s="339"/>
      <x:c r="T175" s="339"/>
      <x:c r="U175" s="339"/>
      <x:c r="V175" s="339"/>
      <x:c r="W175" s="339"/>
      <x:c r="X175" s="339"/>
      <x:c r="Y175" s="339"/>
      <x:c r="Z175" s="339"/>
    </x:row>
    <x:row r="176">
      <x:c r="A176" s="890" t="str">
        <x:v>Industry funding</x:v>
      </x:c>
      <x:c r="B176" s="890" t="str">
        <x:v>Committed employer pooled contribution</x:v>
      </x:c>
      <x:c r="C176" s="889" t="str">
        <x:v>NZD/year</x:v>
      </x:c>
      <x:c r="D176" s="891" t="n">
        <x:v>0</x:v>
      </x:c>
      <x:c r="E176" s="891" t="n">
        <x:v>0</x:v>
      </x:c>
      <x:c r="F176" s="891" t="n">
        <x:v>0</x:v>
      </x:c>
      <x:c r="G176" s="889" t="str">
        <x:v>A21</x:v>
      </x:c>
      <x:c r="H176" s="889" t="str">
        <x:v>No commitment</x:v>
      </x:c>
      <x:c r="I176" s="889" t="str">
        <x:v>Central model includes no uncommitted employer funding.</x:v>
      </x:c>
      <x:c r="J176" s="339"/>
      <x:c r="K176" s="339"/>
      <x:c r="L176" s="339"/>
      <x:c r="M176" s="339"/>
      <x:c r="N176" s="339"/>
      <x:c r="O176" s="339"/>
      <x:c r="P176" s="339"/>
      <x:c r="Q176" s="339"/>
      <x:c r="R176" s="339"/>
      <x:c r="S176" s="339"/>
      <x:c r="T176" s="339"/>
      <x:c r="U176" s="339"/>
      <x:c r="V176" s="339"/>
      <x:c r="W176" s="339"/>
      <x:c r="X176" s="339"/>
      <x:c r="Y176" s="339"/>
      <x:c r="Z176" s="339"/>
    </x:row>
    <x:row r="177">
      <x:c r="A177" s="28" t="str">
        <x:v>Industry funding</x:v>
      </x:c>
      <x:c r="B177" s="28" t="str">
        <x:v>Committed sector-organisation pooled contribution</x:v>
      </x:c>
      <x:c r="C177" s="28" t="str">
        <x:v>NZD/year</x:v>
      </x:c>
      <x:c r="D177" s="888" t="n">
        <x:v>0</x:v>
      </x:c>
      <x:c r="E177" s="888" t="n">
        <x:v>0</x:v>
      </x:c>
      <x:c r="F177" s="888" t="n">
        <x:v>0</x:v>
      </x:c>
      <x:c r="G177" s="28" t="str">
        <x:v>A21</x:v>
      </x:c>
      <x:c r="H177" s="28" t="str">
        <x:v>No commitment</x:v>
      </x:c>
      <x:c r="I177" s="28" t="str">
        <x:v>Central model includes no uncommitted sector funding.</x:v>
      </x:c>
      <x:c r="J177" s="339"/>
      <x:c r="K177" s="339"/>
      <x:c r="L177" s="339"/>
      <x:c r="M177" s="339"/>
      <x:c r="N177" s="339"/>
      <x:c r="O177" s="339"/>
      <x:c r="P177" s="339"/>
      <x:c r="Q177" s="339"/>
      <x:c r="R177" s="339"/>
      <x:c r="S177" s="339"/>
      <x:c r="T177" s="339"/>
      <x:c r="U177" s="339"/>
      <x:c r="V177" s="339"/>
      <x:c r="W177" s="339"/>
      <x:c r="X177" s="339"/>
      <x:c r="Y177" s="339"/>
      <x:c r="Z177" s="339"/>
    </x:row>
    <x:row r="178">
      <x:c r="A178" s="28" t="str">
        <x:v>Industry funding</x:v>
      </x:c>
      <x:c r="B178" s="28" t="str">
        <x:v>Committed iwi-entity pooled contribution</x:v>
      </x:c>
      <x:c r="C178" s="28" t="str">
        <x:v>NZD/year</x:v>
      </x:c>
      <x:c r="D178" s="888" t="n">
        <x:v>0</x:v>
      </x:c>
      <x:c r="E178" s="888" t="n">
        <x:v>0</x:v>
      </x:c>
      <x:c r="F178" s="888" t="n">
        <x:v>0</x:v>
      </x:c>
      <x:c r="G178" s="28" t="str">
        <x:v>A21</x:v>
      </x:c>
      <x:c r="H178" s="28" t="str">
        <x:v>No commitment</x:v>
      </x:c>
      <x:c r="I178" s="28" t="str">
        <x:v>Central model includes no uncommitted iwi funding.</x:v>
      </x:c>
      <x:c r="J178" s="339"/>
      <x:c r="K178" s="339"/>
      <x:c r="L178" s="339"/>
      <x:c r="M178" s="339"/>
      <x:c r="N178" s="339"/>
      <x:c r="O178" s="339"/>
      <x:c r="P178" s="339"/>
      <x:c r="Q178" s="339"/>
      <x:c r="R178" s="339"/>
      <x:c r="S178" s="339"/>
      <x:c r="T178" s="339"/>
      <x:c r="U178" s="339"/>
      <x:c r="V178" s="339"/>
      <x:c r="W178" s="339"/>
      <x:c r="X178" s="339"/>
      <x:c r="Y178" s="339"/>
      <x:c r="Z178" s="339"/>
    </x:row>
    <x:row r="179">
      <x:c r="A179" s="28" t="str">
        <x:v>Industry funding</x:v>
      </x:c>
      <x:c r="B179" s="28" t="str">
        <x:v>Committed philanthropic pooled contribution</x:v>
      </x:c>
      <x:c r="C179" s="28" t="str">
        <x:v>NZD/year</x:v>
      </x:c>
      <x:c r="D179" s="888" t="n">
        <x:v>0</x:v>
      </x:c>
      <x:c r="E179" s="888" t="n">
        <x:v>0</x:v>
      </x:c>
      <x:c r="F179" s="888" t="n">
        <x:v>0</x:v>
      </x:c>
      <x:c r="G179" s="28" t="str">
        <x:v>A21</x:v>
      </x:c>
      <x:c r="H179" s="28" t="str">
        <x:v>No commitment</x:v>
      </x:c>
      <x:c r="I179" s="28" t="str">
        <x:v>Central model includes no uncommitted philanthropic funding.</x:v>
      </x:c>
      <x:c r="J179" s="339"/>
      <x:c r="K179" s="339"/>
      <x:c r="L179" s="339"/>
      <x:c r="M179" s="339"/>
      <x:c r="N179" s="339"/>
      <x:c r="O179" s="339"/>
      <x:c r="P179" s="339"/>
      <x:c r="Q179" s="339"/>
      <x:c r="R179" s="339"/>
      <x:c r="S179" s="339"/>
      <x:c r="T179" s="339"/>
      <x:c r="U179" s="339"/>
      <x:c r="V179" s="339"/>
      <x:c r="W179" s="339"/>
      <x:c r="X179" s="339"/>
      <x:c r="Y179" s="339"/>
      <x:c r="Z179" s="339"/>
    </x:row>
    <x:row r="180">
      <x:c r="A180" s="28" t="str">
        <x:v>Industry funding</x:v>
      </x:c>
      <x:c r="B180" s="28" t="str">
        <x:v>Committed tertiary / training-provider contribution</x:v>
      </x:c>
      <x:c r="C180" s="28" t="str">
        <x:v>NZD/year</x:v>
      </x:c>
      <x:c r="D180" s="888" t="n">
        <x:v>0</x:v>
      </x:c>
      <x:c r="E180" s="888" t="n">
        <x:v>0</x:v>
      </x:c>
      <x:c r="F180" s="888" t="n">
        <x:v>0</x:v>
      </x:c>
      <x:c r="G180" s="28" t="str">
        <x:v>A21</x:v>
      </x:c>
      <x:c r="H180" s="28" t="str">
        <x:v>No commitment</x:v>
      </x:c>
      <x:c r="I180" s="28" t="str">
        <x:v>Central model includes no uncommitted provider funding.</x:v>
      </x:c>
      <x:c r="J180" s="339"/>
      <x:c r="K180" s="339"/>
      <x:c r="L180" s="339"/>
      <x:c r="M180" s="339"/>
      <x:c r="N180" s="339"/>
      <x:c r="O180" s="339"/>
      <x:c r="P180" s="339"/>
      <x:c r="Q180" s="339"/>
      <x:c r="R180" s="339"/>
      <x:c r="S180" s="339"/>
      <x:c r="T180" s="339"/>
      <x:c r="U180" s="339"/>
      <x:c r="V180" s="339"/>
      <x:c r="W180" s="339"/>
      <x:c r="X180" s="339"/>
      <x:c r="Y180" s="339"/>
      <x:c r="Z180" s="339"/>
    </x:row>
    <x:row r="181">
      <x:c r="A181" s="890" t="str">
        <x:v>Stage-gate thresholds</x:v>
      </x:c>
      <x:c r="B181" s="890" t="str">
        <x:v>Cost per additional regular attendee</x:v>
      </x:c>
      <x:c r="C181" s="889" t="str">
        <x:v>NZD/outcome</x:v>
      </x:c>
      <x:c r="D181" s="891" t="n">
        <x:v>15000</x:v>
      </x:c>
      <x:c r="E181" s="891" t="n">
        <x:v>25000</x:v>
      </x:c>
      <x:c r="F181" s="891" t="n">
        <x:v>40000</x:v>
      </x:c>
      <x:c r="G181" s="889" t="str">
        <x:v>A22</x:v>
      </x:c>
      <x:c r="H181" s="889" t="str">
        <x:v>Provisional decision threshold</x:v>
      </x:c>
      <x:c r="I181" s="889" t="str">
        <x:v>Requires Treasury and evaluator agreement in Stage 0.</x:v>
      </x:c>
      <x:c r="J181" s="339"/>
      <x:c r="K181" s="339"/>
      <x:c r="L181" s="339"/>
      <x:c r="M181" s="339"/>
      <x:c r="N181" s="339"/>
      <x:c r="O181" s="339"/>
      <x:c r="P181" s="339"/>
      <x:c r="Q181" s="339"/>
      <x:c r="R181" s="339"/>
      <x:c r="S181" s="339"/>
      <x:c r="T181" s="339"/>
      <x:c r="U181" s="339"/>
      <x:c r="V181" s="339"/>
      <x:c r="W181" s="339"/>
      <x:c r="X181" s="339"/>
      <x:c r="Y181" s="339"/>
      <x:c r="Z181" s="339"/>
    </x:row>
    <x:row r="182">
      <x:c r="A182" s="28" t="str">
        <x:v>Stage-gate thresholds</x:v>
      </x:c>
      <x:c r="B182" s="28" t="str">
        <x:v>Cost per additional qualification</x:v>
      </x:c>
      <x:c r="C182" s="28" t="str">
        <x:v>NZD/outcome</x:v>
      </x:c>
      <x:c r="D182" s="888" t="n">
        <x:v>50000</x:v>
      </x:c>
      <x:c r="E182" s="888" t="n">
        <x:v>75000</x:v>
      </x:c>
      <x:c r="F182" s="888" t="n">
        <x:v>100000</x:v>
      </x:c>
      <x:c r="G182" s="28" t="str">
        <x:v>A22</x:v>
      </x:c>
      <x:c r="H182" s="28" t="str">
        <x:v>Provisional decision threshold</x:v>
      </x:c>
      <x:c r="I182" s="28" t="str">
        <x:v>Applies to additional Level 2, Level 3 or equivalent completions.</x:v>
      </x:c>
      <x:c r="J182" s="339"/>
      <x:c r="K182" s="339"/>
      <x:c r="L182" s="339"/>
      <x:c r="M182" s="339"/>
      <x:c r="N182" s="339"/>
      <x:c r="O182" s="339"/>
      <x:c r="P182" s="339"/>
      <x:c r="Q182" s="339"/>
      <x:c r="R182" s="339"/>
      <x:c r="S182" s="339"/>
      <x:c r="T182" s="339"/>
      <x:c r="U182" s="339"/>
      <x:c r="V182" s="339"/>
      <x:c r="W182" s="339"/>
      <x:c r="X182" s="339"/>
      <x:c r="Y182" s="339"/>
      <x:c r="Z182" s="339"/>
    </x:row>
    <x:row r="183">
      <x:c r="A183" s="28" t="str">
        <x:v>Stage-gate thresholds</x:v>
      </x:c>
      <x:c r="B183" s="28" t="str">
        <x:v>Cost per successful transition</x:v>
      </x:c>
      <x:c r="C183" s="28" t="str">
        <x:v>NZD/outcome</x:v>
      </x:c>
      <x:c r="D183" s="888" t="n">
        <x:v>35000</x:v>
      </x:c>
      <x:c r="E183" s="888" t="n">
        <x:v>50000</x:v>
      </x:c>
      <x:c r="F183" s="888" t="n">
        <x:v>75000</x:v>
      </x:c>
      <x:c r="G183" s="28" t="str">
        <x:v>A22</x:v>
      </x:c>
      <x:c r="H183" s="28" t="str">
        <x:v>Provisional decision threshold</x:v>
      </x:c>
      <x:c r="I183" s="28" t="str">
        <x:v>Education, apprenticeship, vocational or sustained employment transition.</x:v>
      </x:c>
      <x:c r="J183" s="339"/>
      <x:c r="K183" s="339"/>
      <x:c r="L183" s="339"/>
      <x:c r="M183" s="339"/>
      <x:c r="N183" s="339"/>
      <x:c r="O183" s="339"/>
      <x:c r="P183" s="339"/>
      <x:c r="Q183" s="339"/>
      <x:c r="R183" s="339"/>
      <x:c r="S183" s="339"/>
      <x:c r="T183" s="339"/>
      <x:c r="U183" s="339"/>
      <x:c r="V183" s="339"/>
      <x:c r="W183" s="339"/>
      <x:c r="X183" s="339"/>
      <x:c r="Y183" s="339"/>
      <x:c r="Z183" s="339"/>
    </x:row>
    <x:row r="184">
      <x:c r="A184" s="28" t="str">
        <x:v>Stage-gate thresholds</x:v>
      </x:c>
      <x:c r="B184" s="28" t="str">
        <x:v>Cost per qualification / apprenticeship completion</x:v>
      </x:c>
      <x:c r="C184" s="28" t="str">
        <x:v>NZD/outcome</x:v>
      </x:c>
      <x:c r="D184" s="888" t="n">
        <x:v>75000</x:v>
      </x:c>
      <x:c r="E184" s="888" t="n">
        <x:v>100000</x:v>
      </x:c>
      <x:c r="F184" s="888" t="n">
        <x:v>150000</x:v>
      </x:c>
      <x:c r="G184" s="28" t="str">
        <x:v>A22</x:v>
      </x:c>
      <x:c r="H184" s="28" t="str">
        <x:v>Provisional decision threshold</x:v>
      </x:c>
      <x:c r="I184" s="28" t="str">
        <x:v>Completion rather than entry.</x:v>
      </x:c>
      <x:c r="J184" s="339"/>
      <x:c r="K184" s="339"/>
      <x:c r="L184" s="339"/>
      <x:c r="M184" s="339"/>
      <x:c r="N184" s="339"/>
      <x:c r="O184" s="339"/>
      <x:c r="P184" s="339"/>
      <x:c r="Q184" s="339"/>
      <x:c r="R184" s="339"/>
      <x:c r="S184" s="339"/>
      <x:c r="T184" s="339"/>
      <x:c r="U184" s="339"/>
      <x:c r="V184" s="339"/>
      <x:c r="W184" s="339"/>
      <x:c r="X184" s="339"/>
      <x:c r="Y184" s="339"/>
      <x:c r="Z184" s="339"/>
    </x:row>
    <x:row r="185">
      <x:c r="A185" s="28" t="str">
        <x:v>Stage-gate thresholds</x:v>
      </x:c>
      <x:c r="B185" s="28" t="str">
        <x:v>Minimum projected lifetime social BCR</x:v>
      </x:c>
      <x:c r="C185" s="28" t="str">
        <x:v>x</x:v>
      </x:c>
      <x:c r="D185" s="887" t="n">
        <x:v>1</x:v>
      </x:c>
      <x:c r="E185" s="887" t="n">
        <x:v>1</x:v>
      </x:c>
      <x:c r="F185" s="887" t="n">
        <x:v>1</x:v>
      </x:c>
      <x:c r="G185" s="28" t="str">
        <x:v>S05;A22</x:v>
      </x:c>
      <x:c r="H185" s="28" t="str">
        <x:v>Provisional decision threshold</x:v>
      </x:c>
      <x:c r="I185" s="28" t="str">
        <x:v>National rollout should not proceed on one improved outcome alone.</x:v>
      </x:c>
      <x:c r="J185" s="339"/>
      <x:c r="K185" s="339"/>
      <x:c r="L185" s="339"/>
      <x:c r="M185" s="339"/>
      <x:c r="N185" s="339"/>
      <x:c r="O185" s="339"/>
      <x:c r="P185" s="339"/>
      <x:c r="Q185" s="339"/>
      <x:c r="R185" s="339"/>
      <x:c r="S185" s="339"/>
      <x:c r="T185" s="339"/>
      <x:c r="U185" s="339"/>
      <x:c r="V185" s="339"/>
      <x:c r="W185" s="339"/>
      <x:c r="X185" s="339"/>
      <x:c r="Y185" s="339"/>
      <x:c r="Z185" s="339"/>
    </x:row>
    <x:row r="186">
      <x:c r="A186" s="28" t="str">
        <x:v>Stage-gate thresholds</x:v>
      </x:c>
      <x:c r="B186" s="28" t="str">
        <x:v>Minimum projected Crown fiscal coverage</x:v>
      </x:c>
      <x:c r="C186" s="28" t="str">
        <x:v>x</x:v>
      </x:c>
      <x:c r="D186" s="887" t="n">
        <x:v>0.25</x:v>
      </x:c>
      <x:c r="E186" s="887" t="n">
        <x:v>0.35</x:v>
      </x:c>
      <x:c r="F186" s="887" t="n">
        <x:v>0.5</x:v>
      </x:c>
      <x:c r="G186" s="28" t="str">
        <x:v>A22</x:v>
      </x:c>
      <x:c r="H186" s="28" t="str">
        <x:v>Provisional decision threshold</x:v>
      </x:c>
      <x:c r="I186" s="28" t="str">
        <x:v>A lower fiscal return requires an explicit Cabinet judgement on non-fiscal value.</x:v>
      </x:c>
      <x:c r="J186" s="339"/>
      <x:c r="K186" s="339"/>
      <x:c r="L186" s="339"/>
      <x:c r="M186" s="339"/>
      <x:c r="N186" s="339"/>
      <x:c r="O186" s="339"/>
      <x:c r="P186" s="339"/>
      <x:c r="Q186" s="339"/>
      <x:c r="R186" s="339"/>
      <x:c r="S186" s="339"/>
      <x:c r="T186" s="339"/>
      <x:c r="U186" s="339"/>
      <x:c r="V186" s="339"/>
      <x:c r="W186" s="339"/>
      <x:c r="X186" s="339"/>
      <x:c r="Y186" s="339"/>
      <x:c r="Z186" s="339"/>
    </x:row>
    <x:row r="187">
      <x:c r="A187" s="28" t="str">
        <x:v>Stage-gate thresholds</x:v>
      </x:c>
      <x:c r="B187" s="28" t="str">
        <x:v>Minimum priority-group effect relative to overall effect</x:v>
      </x:c>
      <x:c r="C187" s="28" t="str">
        <x:v>ratio</x:v>
      </x:c>
      <x:c r="D187" s="886" t="n">
        <x:v>0.8</x:v>
      </x:c>
      <x:c r="E187" s="886" t="n">
        <x:v>0.9</x:v>
      </x:c>
      <x:c r="F187" s="886" t="n">
        <x:v>1</x:v>
      </x:c>
      <x:c r="G187" s="28" t="str">
        <x:v>A22</x:v>
      </x:c>
      <x:c r="H187" s="28" t="str">
        <x:v>Provisional equity threshold</x:v>
      </x:c>
      <x:c r="I187" s="28" t="str">
        <x:v>No material widening of outcome gaps.</x:v>
      </x:c>
      <x:c r="J187" s="339"/>
      <x:c r="K187" s="339"/>
      <x:c r="L187" s="339"/>
      <x:c r="M187" s="339"/>
      <x:c r="N187" s="339"/>
      <x:c r="O187" s="339"/>
      <x:c r="P187" s="339"/>
      <x:c r="Q187" s="339"/>
      <x:c r="R187" s="339"/>
      <x:c r="S187" s="339"/>
      <x:c r="T187" s="339"/>
      <x:c r="U187" s="339"/>
      <x:c r="V187" s="339"/>
      <x:c r="W187" s="339"/>
      <x:c r="X187" s="339"/>
      <x:c r="Y187" s="339"/>
      <x:c r="Z187" s="339"/>
    </x:row>
    <x:row r="188">
      <x:c r="A188" s="28" t="str">
        <x:v>Stage-gate thresholds</x:v>
      </x:c>
      <x:c r="B188" s="28" t="str">
        <x:v>Maximum school workload</x:v>
      </x:c>
      <x:c r="C188" s="28" t="str">
        <x:v>hours/student/year</x:v>
      </x:c>
      <x:c r="D188" s="886" t="n">
        <x:v>4</x:v>
      </x:c>
      <x:c r="E188" s="886" t="n">
        <x:v>6</x:v>
      </x:c>
      <x:c r="F188" s="886" t="n">
        <x:v>8</x:v>
      </x:c>
      <x:c r="G188" s="28" t="str">
        <x:v>A22</x:v>
      </x:c>
      <x:c r="H188" s="28" t="str">
        <x:v>Provisional implementation threshold</x:v>
      </x:c>
      <x:c r="I188" s="28" t="str">
        <x:v>Must be validated by time-and-motion evidence.</x:v>
      </x:c>
      <x:c r="J188" s="339"/>
      <x:c r="K188" s="339"/>
      <x:c r="L188" s="339"/>
      <x:c r="M188" s="339"/>
      <x:c r="N188" s="339"/>
      <x:c r="O188" s="339"/>
      <x:c r="P188" s="339"/>
      <x:c r="Q188" s="339"/>
      <x:c r="R188" s="339"/>
      <x:c r="S188" s="339"/>
      <x:c r="T188" s="339"/>
      <x:c r="U188" s="339"/>
      <x:c r="V188" s="339"/>
      <x:c r="W188" s="339"/>
      <x:c r="X188" s="339"/>
      <x:c r="Y188" s="339"/>
      <x:c r="Z188" s="339"/>
    </x:row>
    <x:row r="189">
      <x:c r="A189" s="28" t="str">
        <x:v>Stage-gate thresholds</x:v>
      </x:c>
      <x:c r="B189" s="28" t="str">
        <x:v>Maximum verified gaming / false-claim rate</x:v>
      </x:c>
      <x:c r="C189" s="28" t="str">
        <x:v>%</x:v>
      </x:c>
      <x:c r="D189" s="885" t="n">
        <x:v>0.005</x:v>
      </x:c>
      <x:c r="E189" s="885" t="n">
        <x:v>0.01</x:v>
      </x:c>
      <x:c r="F189" s="885" t="n">
        <x:v>0.02</x:v>
      </x:c>
      <x:c r="G189" s="28" t="str">
        <x:v>A22</x:v>
      </x:c>
      <x:c r="H189" s="28" t="str">
        <x:v>Provisional harm threshold</x:v>
      </x:c>
      <x:c r="I189" s="28" t="str">
        <x:v>Any systematic exploitation triggers redesign or stop.</x:v>
      </x:c>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I1"/>
    <x:mergeCell ref="A2:I2"/>
  </x:mergeCells>
  <x:pageMargins left="0.7" right="0.7" top="0.75" bottom="0.75" header="0.3" footer="0.3"/>
</x:worksheet>
</file>

<file path=xl/worksheets/sheet9.xml><?xml version="1.0" encoding="utf-8"?>
<x:worksheet xmlns:x="http://schemas.openxmlformats.org/spreadsheetml/2006/main">
  <x:sheetFormatPr defaultRowHeight="15"/>
  <x:cols>
    <x:col min="1" max="1" width="24" hidden="0" customWidth="1"/>
    <x:col min="2" max="2" width="34" hidden="0" customWidth="1"/>
    <x:col min="3" max="3" width="40" hidden="0" customWidth="1"/>
    <x:col min="4" max="4" width="12" hidden="0" customWidth="1"/>
    <x:col min="5" max="5" width="14" hidden="0" customWidth="1"/>
    <x:col min="6" max="6" width="16" hidden="0" customWidth="1"/>
    <x:col min="7" max="7" width="16" hidden="0" customWidth="1"/>
    <x:col min="8" max="8" width="16" hidden="0" customWidth="1"/>
    <x:col min="9" max="9" width="16" hidden="0" customWidth="1"/>
    <x:col min="10" max="10" width="14" hidden="0" customWidth="1"/>
    <x:col min="11" max="11" width="14" hidden="0" customWidth="1"/>
    <x:col min="12" max="12" width="20" hidden="0" customWidth="1"/>
    <x:col min="13" max="13" width="42" hidden="0" customWidth="1"/>
  </x:cols>
  <x:sheetData>
    <x:row r="1" ht="30" customHeight="1">
      <x:c r="A1" s="685" t="str">
        <x:v>Stage 0 — Year 0 Feasibility, Co-design and Business Case</x:v>
      </x:c>
      <x:c r="B1" s="685" t="str">
        <x:v>Stage 0 — Year 0 Feasibility, Co-design and Business Case</x:v>
      </x:c>
      <x:c r="C1" s="685" t="str">
        <x:v>Stage 0 — Year 0 Feasibility, Co-design and Business Case</x:v>
      </x:c>
      <x:c r="D1" s="685" t="str">
        <x:v>Stage 0 — Year 0 Feasibility, Co-design and Business Case</x:v>
      </x:c>
      <x:c r="E1" s="685" t="str">
        <x:v>Stage 0 — Year 0 Feasibility, Co-design and Business Case</x:v>
      </x:c>
      <x:c r="F1" s="685" t="str">
        <x:v>Stage 0 — Year 0 Feasibility, Co-design and Business Case</x:v>
      </x:c>
      <x:c r="G1" s="685" t="str">
        <x:v>Stage 0 — Year 0 Feasibility, Co-design and Business Case</x:v>
      </x:c>
      <x:c r="H1" s="685" t="str">
        <x:v>Stage 0 — Year 0 Feasibility, Co-design and Business Case</x:v>
      </x:c>
      <x:c r="I1" s="685" t="str">
        <x:v>Stage 0 — Year 0 Feasibility, Co-design and Business Case</x:v>
      </x:c>
      <x:c r="J1" s="685" t="str">
        <x:v>Stage 0 — Year 0 Feasibility, Co-design and Business Case</x:v>
      </x:c>
      <x:c r="K1" s="685" t="str">
        <x:v>Stage 0 — Year 0 Feasibility, Co-design and Business Case</x:v>
      </x:c>
      <x:c r="L1" s="685" t="str">
        <x:v>Stage 0 — Year 0 Feasibility, Co-design and Business Case</x:v>
      </x:c>
      <x:c r="M1" s="685" t="str">
        <x:v>Stage 0 — Year 0 Feasibility, Co-design and Business Case</x:v>
      </x:c>
      <x:c r="N1" s="339"/>
      <x:c r="O1" s="339"/>
      <x:c r="P1" s="339"/>
      <x:c r="Q1" s="339"/>
      <x:c r="R1" s="339"/>
      <x:c r="S1" s="339"/>
      <x:c r="T1" s="339"/>
      <x:c r="U1" s="339"/>
      <x:c r="V1" s="339"/>
      <x:c r="W1" s="339"/>
      <x:c r="X1" s="339"/>
      <x:c r="Y1" s="339"/>
      <x:c r="Z1" s="339"/>
    </x:row>
    <x:row r="2" ht="28" customHeight="1">
      <x:c r="A2" s="340" t="str">
        <x:v>Immediate funding request. Central estimate is a transparent planning model, not a supplier quote or appropriation-ready amount.</x:v>
      </x:c>
      <x:c r="B2" s="340" t="str">
        <x:v>Immediate funding request. Central estimate is a transparent planning model, not a supplier quote or appropriation-ready amount.</x:v>
      </x:c>
      <x:c r="C2" s="340" t="str">
        <x:v>Immediate funding request. Central estimate is a transparent planning model, not a supplier quote or appropriation-ready amount.</x:v>
      </x:c>
      <x:c r="D2" s="340" t="str">
        <x:v>Immediate funding request. Central estimate is a transparent planning model, not a supplier quote or appropriation-ready amount.</x:v>
      </x:c>
      <x:c r="E2" s="340" t="str">
        <x:v>Immediate funding request. Central estimate is a transparent planning model, not a supplier quote or appropriation-ready amount.</x:v>
      </x:c>
      <x:c r="F2" s="340" t="str">
        <x:v>Immediate funding request. Central estimate is a transparent planning model, not a supplier quote or appropriation-ready amount.</x:v>
      </x:c>
      <x:c r="G2" s="340" t="str">
        <x:v>Immediate funding request. Central estimate is a transparent planning model, not a supplier quote or appropriation-ready amount.</x:v>
      </x:c>
      <x:c r="H2" s="340" t="str">
        <x:v>Immediate funding request. Central estimate is a transparent planning model, not a supplier quote or appropriation-ready amount.</x:v>
      </x:c>
      <x:c r="I2" s="340" t="str">
        <x:v>Immediate funding request. Central estimate is a transparent planning model, not a supplier quote or appropriation-ready amount.</x:v>
      </x:c>
      <x:c r="J2" s="340" t="str">
        <x:v>Immediate funding request. Central estimate is a transparent planning model, not a supplier quote or appropriation-ready amount.</x:v>
      </x:c>
      <x:c r="K2" s="340" t="str">
        <x:v>Immediate funding request. Central estimate is a transparent planning model, not a supplier quote or appropriation-ready amount.</x:v>
      </x:c>
      <x:c r="L2" s="340" t="str">
        <x:v>Immediate funding request. Central estimate is a transparent planning model, not a supplier quote or appropriation-ready amount.</x:v>
      </x:c>
      <x:c r="M2" s="340" t="str">
        <x:v>Immediate funding request. Central estimate is a transparent planning model, not a supplier quote or appropriation-ready amount.</x:v>
      </x:c>
      <x:c r="N2" s="339"/>
      <x:c r="O2" s="339"/>
      <x:c r="P2" s="339"/>
      <x:c r="Q2" s="339"/>
      <x:c r="R2" s="339"/>
      <x:c r="S2" s="339"/>
      <x:c r="T2" s="339"/>
      <x:c r="U2" s="339"/>
      <x:c r="V2" s="339"/>
      <x:c r="W2" s="339"/>
      <x:c r="X2" s="339"/>
      <x:c r="Y2" s="339"/>
      <x:c r="Z2" s="339"/>
    </x:row>
    <x:row r="3">
      <x:c r="A3" s="28"/>
      <x:c r="B3" s="28"/>
      <x:c r="C3" s="28"/>
      <x:c r="D3" s="28"/>
      <x:c r="E3" s="28"/>
      <x:c r="F3" s="28"/>
      <x:c r="G3" s="28"/>
      <x:c r="H3" s="28"/>
      <x:c r="I3" s="28"/>
      <x:c r="J3" s="28"/>
      <x:c r="K3" s="28"/>
      <x:c r="L3" s="28"/>
      <x:c r="M3" s="28"/>
      <x:c r="N3" s="339"/>
      <x:c r="O3" s="339"/>
      <x:c r="P3" s="339"/>
      <x:c r="Q3" s="339"/>
      <x:c r="R3" s="339"/>
      <x:c r="S3" s="339"/>
      <x:c r="T3" s="339"/>
      <x:c r="U3" s="339"/>
      <x:c r="V3" s="339"/>
      <x:c r="W3" s="339"/>
      <x:c r="X3" s="339"/>
      <x:c r="Y3" s="339"/>
      <x:c r="Z3" s="339"/>
    </x:row>
    <x:row r="4" ht="28" customHeight="1">
      <x:c r="A4" s="343" t="str">
        <x:v>Cost group</x:v>
      </x:c>
      <x:c r="B4" s="343" t="str">
        <x:v>Cost item</x:v>
      </x:c>
      <x:c r="C4" s="343" t="str">
        <x:v>Transparent cost basis</x:v>
      </x:c>
      <x:c r="D4" s="343" t="str">
        <x:v>Quantity</x:v>
      </x:c>
      <x:c r="E4" s="343" t="str">
        <x:v>Unit</x:v>
      </x:c>
      <x:c r="F4" s="343" t="str">
        <x:v>Central unit cost</x:v>
      </x:c>
      <x:c r="G4" s="343" t="str">
        <x:v>Low total</x:v>
      </x:c>
      <x:c r="H4" s="343" t="str">
        <x:v>Central total</x:v>
      </x:c>
      <x:c r="I4" s="343" t="str">
        <x:v>High total</x:v>
      </x:c>
      <x:c r="J4" s="343" t="str">
        <x:v>Timing</x:v>
      </x:c>
      <x:c r="K4" s="343" t="str">
        <x:v>Source ID</x:v>
      </x:c>
      <x:c r="L4" s="343" t="str">
        <x:v>Evidence status</x:v>
      </x:c>
      <x:c r="M4" s="343" t="str">
        <x:v>Required validation</x:v>
      </x:c>
      <x:c r="N4" s="339"/>
      <x:c r="O4" s="339"/>
      <x:c r="P4" s="339"/>
      <x:c r="Q4" s="339"/>
      <x:c r="R4" s="339"/>
      <x:c r="S4" s="339"/>
      <x:c r="T4" s="339"/>
      <x:c r="U4" s="339"/>
      <x:c r="V4" s="339"/>
      <x:c r="W4" s="339"/>
      <x:c r="X4" s="339"/>
      <x:c r="Y4" s="339"/>
      <x:c r="Z4" s="339"/>
    </x:row>
    <x:row r="5" ht="21" customHeight="1">
      <x:c r="A5" s="368" t="str">
        <x:v>Programme leadership &amp; PMO</x:v>
      </x:c>
      <x:c r="B5" s="368" t="str">
        <x:v>Programme leadership &amp; PMO</x:v>
      </x:c>
      <x:c r="C5" s="368" t="str">
        <x:v>Programme leadership &amp; PMO</x:v>
      </x:c>
      <x:c r="D5" s="369" t="str">
        <x:v>Programme leadership &amp; PMO</x:v>
      </x:c>
      <x:c r="E5" s="369" t="str">
        <x:v>Programme leadership &amp; PMO</x:v>
      </x:c>
      <x:c r="F5" s="370" t="str">
        <x:v>Programme leadership &amp; PMO</x:v>
      </x:c>
      <x:c r="G5" s="371" t="str">
        <x:v>Programme leadership &amp; PMO</x:v>
      </x:c>
      <x:c r="H5" s="371" t="str">
        <x:v>Programme leadership &amp; PMO</x:v>
      </x:c>
      <x:c r="I5" s="371" t="str">
        <x:v>Programme leadership &amp; PMO</x:v>
      </x:c>
      <x:c r="J5" s="368" t="str">
        <x:v>Programme leadership &amp; PMO</x:v>
      </x:c>
      <x:c r="K5" s="368" t="str">
        <x:v>Programme leadership &amp; PMO</x:v>
      </x:c>
      <x:c r="L5" s="368" t="str">
        <x:v>Programme leadership &amp; PMO</x:v>
      </x:c>
      <x:c r="M5" s="368" t="str">
        <x:v>Programme leadership &amp; PMO</x:v>
      </x:c>
      <x:c r="N5" s="339"/>
      <x:c r="O5" s="339"/>
      <x:c r="P5" s="339"/>
      <x:c r="Q5" s="339"/>
      <x:c r="R5" s="339"/>
      <x:c r="S5" s="339"/>
      <x:c r="T5" s="339"/>
      <x:c r="U5" s="339"/>
      <x:c r="V5" s="339"/>
      <x:c r="W5" s="339"/>
      <x:c r="X5" s="339"/>
      <x:c r="Y5" s="339"/>
      <x:c r="Z5" s="339"/>
    </x:row>
    <x:row r="6">
      <x:c r="A6" s="28" t="str">
        <x:v>Programme leadership &amp; PMO</x:v>
      </x:c>
      <x:c r="B6" s="28" t="str">
        <x:v>Programme Director</x:v>
      </x:c>
      <x:c r="C6" s="28" t="str">
        <x:v>1.0 loaded FTE-year</x:v>
      </x:c>
      <x:c r="D6" s="40" t="n">
        <x:v>1</x:v>
      </x:c>
      <x:c r="E6" s="40" t="str">
        <x:v>FTE-year</x:v>
      </x:c>
      <x:c r="F6" s="48" t="n">
        <x:v>190000</x:v>
      </x:c>
      <x:c r="G6" s="372" t="n">
        <x:f>D6*F6*Assumptions!$D$9</x:f>
        <x:v>152000</x:v>
      </x:c>
      <x:c r="H6" s="372" t="n">
        <x:f>D6*F6*Assumptions!$E$9</x:f>
        <x:v>190000</x:v>
      </x:c>
      <x:c r="I6" s="372" t="n">
        <x:f>D6*F6*Assumptions!$F$9</x:f>
        <x:v>247000</x:v>
      </x:c>
      <x:c r="J6" s="28" t="str">
        <x:v>One-off</x:v>
      </x:c>
      <x:c r="K6" s="28" t="str">
        <x:v>S09;S10</x:v>
      </x:c>
      <x:c r="L6" s="28" t="str">
        <x:v>Benchmark</x:v>
      </x:c>
      <x:c r="M6" s="28" t="str">
        <x:v>Confirm host agency band and employment model.</x:v>
      </x:c>
      <x:c r="N6" s="339"/>
      <x:c r="O6" s="339"/>
      <x:c r="P6" s="339"/>
      <x:c r="Q6" s="339"/>
      <x:c r="R6" s="339"/>
      <x:c r="S6" s="339"/>
      <x:c r="T6" s="339"/>
      <x:c r="U6" s="339"/>
      <x:c r="V6" s="339"/>
      <x:c r="W6" s="339"/>
      <x:c r="X6" s="339"/>
      <x:c r="Y6" s="339"/>
      <x:c r="Z6" s="339"/>
    </x:row>
    <x:row r="7">
      <x:c r="A7" s="28" t="str">
        <x:v>Programme leadership &amp; PMO</x:v>
      </x:c>
      <x:c r="B7" s="28" t="str">
        <x:v>Delivery / PMO Manager</x:v>
      </x:c>
      <x:c r="C7" s="28" t="str">
        <x:v>1.0 loaded FTE-year</x:v>
      </x:c>
      <x:c r="D7" s="40" t="n">
        <x:v>1</x:v>
      </x:c>
      <x:c r="E7" s="40" t="str">
        <x:v>FTE-year</x:v>
      </x:c>
      <x:c r="F7" s="48" t="n">
        <x:v>165000</x:v>
      </x:c>
      <x:c r="G7" s="372" t="n">
        <x:f>D7*F7*Assumptions!$D$9</x:f>
        <x:v>132000</x:v>
      </x:c>
      <x:c r="H7" s="372" t="n">
        <x:f>D7*F7*Assumptions!$E$9</x:f>
        <x:v>165000</x:v>
      </x:c>
      <x:c r="I7" s="372" t="n">
        <x:f>D7*F7*Assumptions!$F$9</x:f>
        <x:v>214500</x:v>
      </x:c>
      <x:c r="J7" s="28" t="str">
        <x:v>One-off</x:v>
      </x:c>
      <x:c r="K7" s="28" t="str">
        <x:v>S09;S10</x:v>
      </x:c>
      <x:c r="L7" s="28" t="str">
        <x:v>Benchmark</x:v>
      </x:c>
      <x:c r="M7" s="28" t="str">
        <x:v>Confirm role design.</x:v>
      </x:c>
      <x:c r="N7" s="339"/>
      <x:c r="O7" s="339"/>
      <x:c r="P7" s="339"/>
      <x:c r="Q7" s="339"/>
      <x:c r="R7" s="339"/>
      <x:c r="S7" s="339"/>
      <x:c r="T7" s="339"/>
      <x:c r="U7" s="339"/>
      <x:c r="V7" s="339"/>
      <x:c r="W7" s="339"/>
      <x:c r="X7" s="339"/>
      <x:c r="Y7" s="339"/>
      <x:c r="Z7" s="339"/>
    </x:row>
    <x:row r="8">
      <x:c r="A8" s="28" t="str">
        <x:v>Programme leadership &amp; PMO</x:v>
      </x:c>
      <x:c r="B8" s="28" t="str">
        <x:v>Finance and Commercial Lead</x:v>
      </x:c>
      <x:c r="C8" s="28" t="str">
        <x:v>0.6 loaded FTE-year</x:v>
      </x:c>
      <x:c r="D8" s="40" t="n">
        <x:v>0.6</x:v>
      </x:c>
      <x:c r="E8" s="40" t="str">
        <x:v>FTE-year</x:v>
      </x:c>
      <x:c r="F8" s="48" t="n">
        <x:v>170000</x:v>
      </x:c>
      <x:c r="G8" s="372" t="n">
        <x:f>D8*F8*Assumptions!$D$9</x:f>
        <x:v>81600</x:v>
      </x:c>
      <x:c r="H8" s="372" t="n">
        <x:f>D8*F8*Assumptions!$E$9</x:f>
        <x:v>102000</x:v>
      </x:c>
      <x:c r="I8" s="372" t="n">
        <x:f>D8*F8*Assumptions!$F$9</x:f>
        <x:v>132600</x:v>
      </x:c>
      <x:c r="J8" s="28" t="str">
        <x:v>One-off</x:v>
      </x:c>
      <x:c r="K8" s="28" t="str">
        <x:v>S09;S12</x:v>
      </x:c>
      <x:c r="L8" s="28" t="str">
        <x:v>Benchmark</x:v>
      </x:c>
      <x:c r="M8" s="28" t="str">
        <x:v>Confirm procurement and commercial workload.</x:v>
      </x:c>
      <x:c r="N8" s="339"/>
      <x:c r="O8" s="339"/>
      <x:c r="P8" s="339"/>
      <x:c r="Q8" s="339"/>
      <x:c r="R8" s="339"/>
      <x:c r="S8" s="339"/>
      <x:c r="T8" s="339"/>
      <x:c r="U8" s="339"/>
      <x:c r="V8" s="339"/>
      <x:c r="W8" s="339"/>
      <x:c r="X8" s="339"/>
      <x:c r="Y8" s="339"/>
      <x:c r="Z8" s="339"/>
    </x:row>
    <x:row r="9">
      <x:c r="A9" s="28" t="str">
        <x:v>Programme leadership &amp; PMO</x:v>
      </x:c>
      <x:c r="B9" s="28" t="str">
        <x:v>Programme Analysts / PMO</x:v>
      </x:c>
      <x:c r="C9" s="28" t="str">
        <x:v>2.0 loaded FTE-years</x:v>
      </x:c>
      <x:c r="D9" s="40" t="n">
        <x:v>2</x:v>
      </x:c>
      <x:c r="E9" s="40" t="str">
        <x:v>FTE-year</x:v>
      </x:c>
      <x:c r="F9" s="48" t="n">
        <x:v>120000</x:v>
      </x:c>
      <x:c r="G9" s="372" t="n">
        <x:f>D9*F9*Assumptions!$D$9</x:f>
        <x:v>192000</x:v>
      </x:c>
      <x:c r="H9" s="372" t="n">
        <x:f>D9*F9*Assumptions!$E$9</x:f>
        <x:v>240000</x:v>
      </x:c>
      <x:c r="I9" s="372" t="n">
        <x:f>D9*F9*Assumptions!$F$9</x:f>
        <x:v>312000</x:v>
      </x:c>
      <x:c r="J9" s="28" t="str">
        <x:v>One-off</x:v>
      </x:c>
      <x:c r="K9" s="28" t="str">
        <x:v>S09;S12</x:v>
      </x:c>
      <x:c r="L9" s="28" t="str">
        <x:v>Benchmark</x:v>
      </x:c>
      <x:c r="M9" s="28" t="str">
        <x:v>Confirm number and grade.</x:v>
      </x:c>
      <x:c r="N9" s="339"/>
      <x:c r="O9" s="339"/>
      <x:c r="P9" s="339"/>
      <x:c r="Q9" s="339"/>
      <x:c r="R9" s="339"/>
      <x:c r="S9" s="339"/>
      <x:c r="T9" s="339"/>
      <x:c r="U9" s="339"/>
      <x:c r="V9" s="339"/>
      <x:c r="W9" s="339"/>
      <x:c r="X9" s="339"/>
      <x:c r="Y9" s="339"/>
      <x:c r="Z9" s="339"/>
    </x:row>
    <x:row r="10">
      <x:c r="A10" s="28" t="str">
        <x:v>Programme leadership &amp; PMO</x:v>
      </x:c>
      <x:c r="B10" s="28" t="str">
        <x:v>Business Support / Administration</x:v>
      </x:c>
      <x:c r="C10" s="28" t="str">
        <x:v>1.0 loaded FTE-year</x:v>
      </x:c>
      <x:c r="D10" s="40" t="n">
        <x:v>1</x:v>
      </x:c>
      <x:c r="E10" s="40" t="str">
        <x:v>FTE-year</x:v>
      </x:c>
      <x:c r="F10" s="48" t="n">
        <x:v>85000</x:v>
      </x:c>
      <x:c r="G10" s="372" t="n">
        <x:f>D10*F10*Assumptions!$D$9</x:f>
        <x:v>68000</x:v>
      </x:c>
      <x:c r="H10" s="372" t="n">
        <x:f>D10*F10*Assumptions!$E$9</x:f>
        <x:v>85000</x:v>
      </x:c>
      <x:c r="I10" s="372" t="n">
        <x:f>D10*F10*Assumptions!$F$9</x:f>
        <x:v>110500</x:v>
      </x:c>
      <x:c r="J10" s="28" t="str">
        <x:v>One-off</x:v>
      </x:c>
      <x:c r="K10" s="28" t="str">
        <x:v>S09;S11</x:v>
      </x:c>
      <x:c r="L10" s="28" t="str">
        <x:v>Benchmark</x:v>
      </x:c>
      <x:c r="M10" s="28" t="str">
        <x:v>Confirm host-agency support available.</x:v>
      </x:c>
      <x:c r="N10" s="339"/>
      <x:c r="O10" s="339"/>
      <x:c r="P10" s="339"/>
      <x:c r="Q10" s="339"/>
      <x:c r="R10" s="339"/>
      <x:c r="S10" s="339"/>
      <x:c r="T10" s="339"/>
      <x:c r="U10" s="339"/>
      <x:c r="V10" s="339"/>
      <x:c r="W10" s="339"/>
      <x:c r="X10" s="339"/>
      <x:c r="Y10" s="339"/>
      <x:c r="Z10" s="339"/>
    </x:row>
    <x:row r="11">
      <x:c r="A11" s="373" t="str">
        <x:v>Programme leadership &amp; PMO subtotal</x:v>
      </x:c>
      <x:c r="B11" s="373"/>
      <x:c r="C11" s="373"/>
      <x:c r="D11" s="374"/>
      <x:c r="E11" s="374"/>
      <x:c r="F11" s="375"/>
      <x:c r="G11" s="376" t="n">
        <x:f>SUM(G6:G10)</x:f>
        <x:v>625600</x:v>
      </x:c>
      <x:c r="H11" s="376" t="n">
        <x:f>SUM(H6:H10)</x:f>
        <x:v>782000</x:v>
      </x:c>
      <x:c r="I11" s="376" t="n">
        <x:f>SUM(I6:I10)</x:f>
        <x:v>1016600</x:v>
      </x:c>
      <x:c r="J11" s="373"/>
      <x:c r="K11" s="373"/>
      <x:c r="L11" s="373"/>
      <x:c r="M11" s="373"/>
      <x:c r="N11" s="339"/>
      <x:c r="O11" s="339"/>
      <x:c r="P11" s="339"/>
      <x:c r="Q11" s="339"/>
      <x:c r="R11" s="339"/>
      <x:c r="S11" s="339"/>
      <x:c r="T11" s="339"/>
      <x:c r="U11" s="339"/>
      <x:c r="V11" s="339"/>
      <x:c r="W11" s="339"/>
      <x:c r="X11" s="339"/>
      <x:c r="Y11" s="339"/>
      <x:c r="Z11" s="339"/>
    </x:row>
    <x:row r="12">
      <x:c r="A12" s="28"/>
      <x:c r="B12" s="28"/>
      <x:c r="C12" s="28"/>
      <x:c r="D12" s="40"/>
      <x:c r="E12" s="40"/>
      <x:c r="F12" s="48"/>
      <x:c r="G12" s="372"/>
      <x:c r="H12" s="372"/>
      <x:c r="I12" s="372"/>
      <x:c r="J12" s="28"/>
      <x:c r="K12" s="28"/>
      <x:c r="L12" s="28"/>
      <x:c r="M12" s="28"/>
      <x:c r="N12" s="339"/>
      <x:c r="O12" s="339"/>
      <x:c r="P12" s="339"/>
      <x:c r="Q12" s="339"/>
      <x:c r="R12" s="339"/>
      <x:c r="S12" s="339"/>
      <x:c r="T12" s="339"/>
      <x:c r="U12" s="339"/>
      <x:c r="V12" s="339"/>
      <x:c r="W12" s="339"/>
      <x:c r="X12" s="339"/>
      <x:c r="Y12" s="339"/>
      <x:c r="Z12" s="339"/>
    </x:row>
    <x:row r="13" ht="21" customHeight="1">
      <x:c r="A13" s="368" t="str">
        <x:v>Cultural co-design &amp; engagement</x:v>
      </x:c>
      <x:c r="B13" s="368" t="str">
        <x:v>Cultural co-design &amp; engagement</x:v>
      </x:c>
      <x:c r="C13" s="368" t="str">
        <x:v>Cultural co-design &amp; engagement</x:v>
      </x:c>
      <x:c r="D13" s="369" t="str">
        <x:v>Cultural co-design &amp; engagement</x:v>
      </x:c>
      <x:c r="E13" s="369" t="str">
        <x:v>Cultural co-design &amp; engagement</x:v>
      </x:c>
      <x:c r="F13" s="370" t="str">
        <x:v>Cultural co-design &amp; engagement</x:v>
      </x:c>
      <x:c r="G13" s="371" t="str">
        <x:v>Cultural co-design &amp; engagement</x:v>
      </x:c>
      <x:c r="H13" s="371" t="str">
        <x:v>Cultural co-design &amp; engagement</x:v>
      </x:c>
      <x:c r="I13" s="371" t="str">
        <x:v>Cultural co-design &amp; engagement</x:v>
      </x:c>
      <x:c r="J13" s="368" t="str">
        <x:v>Cultural co-design &amp; engagement</x:v>
      </x:c>
      <x:c r="K13" s="368" t="str">
        <x:v>Cultural co-design &amp; engagement</x:v>
      </x:c>
      <x:c r="L13" s="368" t="str">
        <x:v>Cultural co-design &amp; engagement</x:v>
      </x:c>
      <x:c r="M13" s="368" t="str">
        <x:v>Cultural co-design &amp; engagement</x:v>
      </x:c>
      <x:c r="N13" s="339"/>
      <x:c r="O13" s="339"/>
      <x:c r="P13" s="339"/>
      <x:c r="Q13" s="339"/>
      <x:c r="R13" s="339"/>
      <x:c r="S13" s="339"/>
      <x:c r="T13" s="339"/>
      <x:c r="U13" s="339"/>
      <x:c r="V13" s="339"/>
      <x:c r="W13" s="339"/>
      <x:c r="X13" s="339"/>
      <x:c r="Y13" s="339"/>
      <x:c r="Z13" s="339"/>
    </x:row>
    <x:row r="14">
      <x:c r="A14" s="28" t="str">
        <x:v>Cultural co-design &amp; engagement</x:v>
      </x:c>
      <x:c r="B14" s="28" t="str">
        <x:v>Māori Co-design Lead</x:v>
      </x:c>
      <x:c r="C14" s="28" t="str">
        <x:v>1.0 loaded FTE-year</x:v>
      </x:c>
      <x:c r="D14" s="40" t="n">
        <x:v>1</x:v>
      </x:c>
      <x:c r="E14" s="40" t="str">
        <x:v>FTE-year</x:v>
      </x:c>
      <x:c r="F14" s="48" t="n">
        <x:v>150000</x:v>
      </x:c>
      <x:c r="G14" s="372" t="n">
        <x:f>D14*F14*Assumptions!$D$9</x:f>
        <x:v>120000</x:v>
      </x:c>
      <x:c r="H14" s="372" t="n">
        <x:f>D14*F14*Assumptions!$E$9</x:f>
        <x:v>150000</x:v>
      </x:c>
      <x:c r="I14" s="372" t="n">
        <x:f>D14*F14*Assumptions!$F$9</x:f>
        <x:v>195000</x:v>
      </x:c>
      <x:c r="J14" s="28" t="str">
        <x:v>One-off</x:v>
      </x:c>
      <x:c r="K14" s="28" t="str">
        <x:v>S01;S09</x:v>
      </x:c>
      <x:c r="L14" s="28" t="str">
        <x:v>Benchmark + scope</x:v>
      </x:c>
      <x:c r="M14" s="28" t="str">
        <x:v>Must be appointed/co-designed with Māori partners.</x:v>
      </x:c>
      <x:c r="N14" s="339"/>
      <x:c r="O14" s="339"/>
      <x:c r="P14" s="339"/>
      <x:c r="Q14" s="339"/>
      <x:c r="R14" s="339"/>
      <x:c r="S14" s="339"/>
      <x:c r="T14" s="339"/>
      <x:c r="U14" s="339"/>
      <x:c r="V14" s="339"/>
      <x:c r="W14" s="339"/>
      <x:c r="X14" s="339"/>
      <x:c r="Y14" s="339"/>
      <x:c r="Z14" s="339"/>
    </x:row>
    <x:row r="15">
      <x:c r="A15" s="28" t="str">
        <x:v>Cultural co-design &amp; engagement</x:v>
      </x:c>
      <x:c r="B15" s="28" t="str">
        <x:v>Pacific Co-design Lead</x:v>
      </x:c>
      <x:c r="C15" s="28" t="str">
        <x:v>0.8 loaded FTE-year</x:v>
      </x:c>
      <x:c r="D15" s="40" t="n">
        <x:v>0.8</x:v>
      </x:c>
      <x:c r="E15" s="40" t="str">
        <x:v>FTE-year</x:v>
      </x:c>
      <x:c r="F15" s="48" t="n">
        <x:v>140000</x:v>
      </x:c>
      <x:c r="G15" s="372" t="n">
        <x:f>D15*F15*Assumptions!$D$9</x:f>
        <x:v>89600</x:v>
      </x:c>
      <x:c r="H15" s="372" t="n">
        <x:f>D15*F15*Assumptions!$E$9</x:f>
        <x:v>112000</x:v>
      </x:c>
      <x:c r="I15" s="372" t="n">
        <x:f>D15*F15*Assumptions!$F$9</x:f>
        <x:v>145600</x:v>
      </x:c>
      <x:c r="J15" s="28" t="str">
        <x:v>One-off</x:v>
      </x:c>
      <x:c r="K15" s="28" t="str">
        <x:v>S01;S09</x:v>
      </x:c>
      <x:c r="L15" s="28" t="str">
        <x:v>Benchmark + scope</x:v>
      </x:c>
      <x:c r="M15" s="28" t="str">
        <x:v>Must be appointed/co-designed with Pacific partners.</x:v>
      </x:c>
      <x:c r="N15" s="339"/>
      <x:c r="O15" s="339"/>
      <x:c r="P15" s="339"/>
      <x:c r="Q15" s="339"/>
      <x:c r="R15" s="339"/>
      <x:c r="S15" s="339"/>
      <x:c r="T15" s="339"/>
      <x:c r="U15" s="339"/>
      <x:c r="V15" s="339"/>
      <x:c r="W15" s="339"/>
      <x:c r="X15" s="339"/>
      <x:c r="Y15" s="339"/>
      <x:c r="Z15" s="339"/>
    </x:row>
    <x:row r="16">
      <x:c r="A16" s="28" t="str">
        <x:v>Cultural co-design &amp; engagement</x:v>
      </x:c>
      <x:c r="B16" s="28" t="str">
        <x:v>Youth and Whānau Engagement Lead</x:v>
      </x:c>
      <x:c r="C16" s="28" t="str">
        <x:v>1.0 loaded FTE-year</x:v>
      </x:c>
      <x:c r="D16" s="40" t="n">
        <x:v>1</x:v>
      </x:c>
      <x:c r="E16" s="40" t="str">
        <x:v>FTE-year</x:v>
      </x:c>
      <x:c r="F16" s="48" t="n">
        <x:v>110000</x:v>
      </x:c>
      <x:c r="G16" s="372" t="n">
        <x:f>D16*F16*Assumptions!$D$9</x:f>
        <x:v>88000</x:v>
      </x:c>
      <x:c r="H16" s="372" t="n">
        <x:f>D16*F16*Assumptions!$E$9</x:f>
        <x:v>110000</x:v>
      </x:c>
      <x:c r="I16" s="372" t="n">
        <x:f>D16*F16*Assumptions!$F$9</x:f>
        <x:v>143000</x:v>
      </x:c>
      <x:c r="J16" s="28" t="str">
        <x:v>One-off</x:v>
      </x:c>
      <x:c r="K16" s="28" t="str">
        <x:v>S01;S09</x:v>
      </x:c>
      <x:c r="L16" s="28" t="str">
        <x:v>Benchmark + scope</x:v>
      </x:c>
      <x:c r="M16" s="28" t="str">
        <x:v>Confirm regional delivery model.</x:v>
      </x:c>
      <x:c r="N16" s="339"/>
      <x:c r="O16" s="339"/>
      <x:c r="P16" s="339"/>
      <x:c r="Q16" s="339"/>
      <x:c r="R16" s="339"/>
      <x:c r="S16" s="339"/>
      <x:c r="T16" s="339"/>
      <x:c r="U16" s="339"/>
      <x:c r="V16" s="339"/>
      <x:c r="W16" s="339"/>
      <x:c r="X16" s="339"/>
      <x:c r="Y16" s="339"/>
      <x:c r="Z16" s="339"/>
    </x:row>
    <x:row r="17">
      <x:c r="A17" s="28" t="str">
        <x:v>Cultural co-design &amp; engagement</x:v>
      </x:c>
      <x:c r="B17" s="28" t="str">
        <x:v>Regional co-design hui / workshops</x:v>
      </x:c>
      <x:c r="C17" s="28" t="str">
        <x:v>16 sessions × $8,000 all-in allowance</x:v>
      </x:c>
      <x:c r="D17" s="40" t="n">
        <x:v>16</x:v>
      </x:c>
      <x:c r="E17" s="40" t="str">
        <x:v>session</x:v>
      </x:c>
      <x:c r="F17" s="377" t="n">
        <x:v>8000</x:v>
      </x:c>
      <x:c r="G17" s="378" t="n">
        <x:f>D17*F17*Assumptions!$D$9</x:f>
        <x:v>102400</x:v>
      </x:c>
      <x:c r="H17" s="378" t="n">
        <x:f>D17*F17*Assumptions!$E$9</x:f>
        <x:v>128000</x:v>
      </x:c>
      <x:c r="I17" s="378" t="n">
        <x:f>D17*F17*Assumptions!$F$9</x:f>
        <x:v>166400</x:v>
      </x:c>
      <x:c r="J17" s="35" t="str">
        <x:v>One-off</x:v>
      </x:c>
      <x:c r="K17" s="35" t="str">
        <x:v>A02</x:v>
      </x:c>
      <x:c r="L17" s="35" t="str">
        <x:v>Quote required</x:v>
      </x:c>
      <x:c r="M17" s="35" t="str">
        <x:v>Obtain partner-led budgets for venue, facilitation, kai, travel and accessibility.</x:v>
      </x:c>
      <x:c r="N17" s="339"/>
      <x:c r="O17" s="339"/>
      <x:c r="P17" s="339"/>
      <x:c r="Q17" s="339"/>
      <x:c r="R17" s="339"/>
      <x:c r="S17" s="339"/>
      <x:c r="T17" s="339"/>
      <x:c r="U17" s="339"/>
      <x:c r="V17" s="339"/>
      <x:c r="W17" s="339"/>
      <x:c r="X17" s="339"/>
      <x:c r="Y17" s="339"/>
      <x:c r="Z17" s="339"/>
    </x:row>
    <x:row r="18">
      <x:c r="A18" s="28" t="str">
        <x:v>Cultural co-design &amp; engagement</x:v>
      </x:c>
      <x:c r="B18" s="28" t="str">
        <x:v>Participant honoraria, travel and accessibility</x:v>
      </x:c>
      <x:c r="C18" s="28" t="str">
        <x:v>Transparent programme allowance</x:v>
      </x:c>
      <x:c r="D18" s="40" t="n">
        <x:v>1</x:v>
      </x:c>
      <x:c r="E18" s="40" t="str">
        <x:v>allowance</x:v>
      </x:c>
      <x:c r="F18" s="377" t="n">
        <x:v>180000</x:v>
      </x:c>
      <x:c r="G18" s="378" t="n">
        <x:f>D18*F18*Assumptions!$D$9</x:f>
        <x:v>144000</x:v>
      </x:c>
      <x:c r="H18" s="378" t="n">
        <x:f>D18*F18*Assumptions!$E$9</x:f>
        <x:v>180000</x:v>
      </x:c>
      <x:c r="I18" s="378" t="n">
        <x:f>D18*F18*Assumptions!$F$9</x:f>
        <x:v>234000</x:v>
      </x:c>
      <x:c r="J18" s="35" t="str">
        <x:v>One-off</x:v>
      </x:c>
      <x:c r="K18" s="35" t="str">
        <x:v>A02</x:v>
      </x:c>
      <x:c r="L18" s="35" t="str">
        <x:v>Quote required</x:v>
      </x:c>
      <x:c r="M18" s="35" t="str">
        <x:v>Set rates with youth, whānau, iwi, Pacific and disability partners.</x:v>
      </x:c>
      <x:c r="N18" s="339"/>
      <x:c r="O18" s="339"/>
      <x:c r="P18" s="339"/>
      <x:c r="Q18" s="339"/>
      <x:c r="R18" s="339"/>
      <x:c r="S18" s="339"/>
      <x:c r="T18" s="339"/>
      <x:c r="U18" s="339"/>
      <x:c r="V18" s="339"/>
      <x:c r="W18" s="339"/>
      <x:c r="X18" s="339"/>
      <x:c r="Y18" s="339"/>
      <x:c r="Z18" s="339"/>
    </x:row>
    <x:row r="19">
      <x:c r="A19" s="28" t="str">
        <x:v>Cultural co-design &amp; engagement</x:v>
      </x:c>
      <x:c r="B19" s="28" t="str">
        <x:v>Te reo, tikanga, Pacific-language and cultural review</x:v>
      </x:c>
      <x:c r="C19" s="28" t="str">
        <x:v>300 professional hours × $200</x:v>
      </x:c>
      <x:c r="D19" s="40" t="n">
        <x:v>300</x:v>
      </x:c>
      <x:c r="E19" s="40" t="str">
        <x:v>hour</x:v>
      </x:c>
      <x:c r="F19" s="377" t="n">
        <x:v>200</x:v>
      </x:c>
      <x:c r="G19" s="378" t="n">
        <x:f>D19*F19*Assumptions!$D$9</x:f>
        <x:v>48000</x:v>
      </x:c>
      <x:c r="H19" s="378" t="n">
        <x:f>D19*F19*Assumptions!$E$9</x:f>
        <x:v>60000</x:v>
      </x:c>
      <x:c r="I19" s="378" t="n">
        <x:f>D19*F19*Assumptions!$F$9</x:f>
        <x:v>78000</x:v>
      </x:c>
      <x:c r="J19" s="35" t="str">
        <x:v>One-off</x:v>
      </x:c>
      <x:c r="K19" s="35" t="str">
        <x:v>A01;S01</x:v>
      </x:c>
      <x:c r="L19" s="35" t="str">
        <x:v>Quote required</x:v>
      </x:c>
      <x:c r="M19" s="35" t="str">
        <x:v>Use qualified cultural and language advisors.</x:v>
      </x:c>
      <x:c r="N19" s="339"/>
      <x:c r="O19" s="339"/>
      <x:c r="P19" s="339"/>
      <x:c r="Q19" s="339"/>
      <x:c r="R19" s="339"/>
      <x:c r="S19" s="339"/>
      <x:c r="T19" s="339"/>
      <x:c r="U19" s="339"/>
      <x:c r="V19" s="339"/>
      <x:c r="W19" s="339"/>
      <x:c r="X19" s="339"/>
      <x:c r="Y19" s="339"/>
      <x:c r="Z19" s="339"/>
    </x:row>
    <x:row r="20">
      <x:c r="A20" s="373" t="str">
        <x:v>Cultural co-design &amp; engagement subtotal</x:v>
      </x:c>
      <x:c r="B20" s="373"/>
      <x:c r="C20" s="373"/>
      <x:c r="D20" s="374"/>
      <x:c r="E20" s="374"/>
      <x:c r="F20" s="375"/>
      <x:c r="G20" s="376" t="n">
        <x:f>SUM(G14:G19)</x:f>
        <x:v>592000</x:v>
      </x:c>
      <x:c r="H20" s="376" t="n">
        <x:f>SUM(H14:H19)</x:f>
        <x:v>740000</x:v>
      </x:c>
      <x:c r="I20" s="376" t="n">
        <x:f>SUM(I14:I19)</x:f>
        <x:v>962000</x:v>
      </x:c>
      <x:c r="J20" s="373"/>
      <x:c r="K20" s="373"/>
      <x:c r="L20" s="373"/>
      <x:c r="M20" s="373"/>
      <x:c r="N20" s="339"/>
      <x:c r="O20" s="339"/>
      <x:c r="P20" s="339"/>
      <x:c r="Q20" s="339"/>
      <x:c r="R20" s="339"/>
      <x:c r="S20" s="339"/>
      <x:c r="T20" s="339"/>
      <x:c r="U20" s="339"/>
      <x:c r="V20" s="339"/>
      <x:c r="W20" s="339"/>
      <x:c r="X20" s="339"/>
      <x:c r="Y20" s="339"/>
      <x:c r="Z20" s="339"/>
    </x:row>
    <x:row r="21">
      <x:c r="A21" s="28"/>
      <x:c r="B21" s="28"/>
      <x:c r="C21" s="28"/>
      <x:c r="D21" s="40"/>
      <x:c r="E21" s="40"/>
      <x:c r="F21" s="48"/>
      <x:c r="G21" s="372"/>
      <x:c r="H21" s="372"/>
      <x:c r="I21" s="372"/>
      <x:c r="J21" s="28"/>
      <x:c r="K21" s="28"/>
      <x:c r="L21" s="28"/>
      <x:c r="M21" s="28"/>
      <x:c r="N21" s="339"/>
      <x:c r="O21" s="339"/>
      <x:c r="P21" s="339"/>
      <x:c r="Q21" s="339"/>
      <x:c r="R21" s="339"/>
      <x:c r="S21" s="339"/>
      <x:c r="T21" s="339"/>
      <x:c r="U21" s="339"/>
      <x:c r="V21" s="339"/>
      <x:c r="W21" s="339"/>
      <x:c r="X21" s="339"/>
      <x:c r="Y21" s="339"/>
      <x:c r="Z21" s="339"/>
    </x:row>
    <x:row r="22" ht="21" customHeight="1">
      <x:c r="A22" s="368" t="str">
        <x:v>Business case, legal &amp; commercial</x:v>
      </x:c>
      <x:c r="B22" s="368" t="str">
        <x:v>Business case, legal &amp; commercial</x:v>
      </x:c>
      <x:c r="C22" s="368" t="str">
        <x:v>Business case, legal &amp; commercial</x:v>
      </x:c>
      <x:c r="D22" s="369" t="str">
        <x:v>Business case, legal &amp; commercial</x:v>
      </x:c>
      <x:c r="E22" s="369" t="str">
        <x:v>Business case, legal &amp; commercial</x:v>
      </x:c>
      <x:c r="F22" s="370" t="str">
        <x:v>Business case, legal &amp; commercial</x:v>
      </x:c>
      <x:c r="G22" s="371" t="str">
        <x:v>Business case, legal &amp; commercial</x:v>
      </x:c>
      <x:c r="H22" s="371" t="str">
        <x:v>Business case, legal &amp; commercial</x:v>
      </x:c>
      <x:c r="I22" s="371" t="str">
        <x:v>Business case, legal &amp; commercial</x:v>
      </x:c>
      <x:c r="J22" s="368" t="str">
        <x:v>Business case, legal &amp; commercial</x:v>
      </x:c>
      <x:c r="K22" s="368" t="str">
        <x:v>Business case, legal &amp; commercial</x:v>
      </x:c>
      <x:c r="L22" s="368" t="str">
        <x:v>Business case, legal &amp; commercial</x:v>
      </x:c>
      <x:c r="M22" s="368" t="str">
        <x:v>Business case, legal &amp; commercial</x:v>
      </x:c>
      <x:c r="N22" s="339"/>
      <x:c r="O22" s="339"/>
      <x:c r="P22" s="339"/>
      <x:c r="Q22" s="339"/>
      <x:c r="R22" s="339"/>
      <x:c r="S22" s="339"/>
      <x:c r="T22" s="339"/>
      <x:c r="U22" s="339"/>
      <x:c r="V22" s="339"/>
      <x:c r="W22" s="339"/>
      <x:c r="X22" s="339"/>
      <x:c r="Y22" s="339"/>
      <x:c r="Z22" s="339"/>
    </x:row>
    <x:row r="23">
      <x:c r="A23" s="28" t="str">
        <x:v>Business case, legal &amp; commercial</x:v>
      </x:c>
      <x:c r="B23" s="28" t="str">
        <x:v>Economics and Better Business Case team</x:v>
      </x:c>
      <x:c r="C23" s="28" t="str">
        <x:v>2.0 loaded specialist FTE-years</x:v>
      </x:c>
      <x:c r="D23" s="40" t="n">
        <x:v>2</x:v>
      </x:c>
      <x:c r="E23" s="40" t="str">
        <x:v>FTE-year</x:v>
      </x:c>
      <x:c r="F23" s="48" t="n">
        <x:v>150000</x:v>
      </x:c>
      <x:c r="G23" s="372" t="n">
        <x:f>D23*F23*Assumptions!$D$9</x:f>
        <x:v>240000</x:v>
      </x:c>
      <x:c r="H23" s="372" t="n">
        <x:f>D23*F23*Assumptions!$E$9</x:f>
        <x:v>300000</x:v>
      </x:c>
      <x:c r="I23" s="372" t="n">
        <x:f>D23*F23*Assumptions!$F$9</x:f>
        <x:v>390000</x:v>
      </x:c>
      <x:c r="J23" s="28" t="str">
        <x:v>One-off</x:v>
      </x:c>
      <x:c r="K23" s="28" t="str">
        <x:v>S07;S09;S12</x:v>
      </x:c>
      <x:c r="L23" s="28" t="str">
        <x:v>Benchmark</x:v>
      </x:c>
      <x:c r="M23" s="28" t="str">
        <x:v>Confirm BBC pathway and host-agency capability.</x:v>
      </x:c>
      <x:c r="N23" s="339"/>
      <x:c r="O23" s="339"/>
      <x:c r="P23" s="339"/>
      <x:c r="Q23" s="339"/>
      <x:c r="R23" s="339"/>
      <x:c r="S23" s="339"/>
      <x:c r="T23" s="339"/>
      <x:c r="U23" s="339"/>
      <x:c r="V23" s="339"/>
      <x:c r="W23" s="339"/>
      <x:c r="X23" s="339"/>
      <x:c r="Y23" s="339"/>
      <x:c r="Z23" s="339"/>
    </x:row>
    <x:row r="24">
      <x:c r="A24" s="28" t="str">
        <x:v>Business case, legal &amp; commercial</x:v>
      </x:c>
      <x:c r="B24" s="28" t="str">
        <x:v>Independent costing review</x:v>
      </x:c>
      <x:c r="C24" s="28" t="str">
        <x:v>900 professional hours × $200</x:v>
      </x:c>
      <x:c r="D24" s="40" t="n">
        <x:v>900</x:v>
      </x:c>
      <x:c r="E24" s="40" t="str">
        <x:v>hour</x:v>
      </x:c>
      <x:c r="F24" s="377" t="n">
        <x:v>200</x:v>
      </x:c>
      <x:c r="G24" s="378" t="n">
        <x:f>D24*F24*Assumptions!$D$9</x:f>
        <x:v>144000</x:v>
      </x:c>
      <x:c r="H24" s="378" t="n">
        <x:f>D24*F24*Assumptions!$E$9</x:f>
        <x:v>180000</x:v>
      </x:c>
      <x:c r="I24" s="378" t="n">
        <x:f>D24*F24*Assumptions!$F$9</x:f>
        <x:v>234000</x:v>
      </x:c>
      <x:c r="J24" s="35" t="str">
        <x:v>One-off</x:v>
      </x:c>
      <x:c r="K24" s="35" t="str">
        <x:v>A01;S07</x:v>
      </x:c>
      <x:c r="L24" s="35" t="str">
        <x:v>Quote required</x:v>
      </x:c>
      <x:c r="M24" s="35" t="str">
        <x:v>Independent reviewer must not be the model author.</x:v>
      </x:c>
      <x:c r="N24" s="339"/>
      <x:c r="O24" s="339"/>
      <x:c r="P24" s="339"/>
      <x:c r="Q24" s="339"/>
      <x:c r="R24" s="339"/>
      <x:c r="S24" s="339"/>
      <x:c r="T24" s="339"/>
      <x:c r="U24" s="339"/>
      <x:c r="V24" s="339"/>
      <x:c r="W24" s="339"/>
      <x:c r="X24" s="339"/>
      <x:c r="Y24" s="339"/>
      <x:c r="Z24" s="339"/>
    </x:row>
    <x:row r="25">
      <x:c r="A25" s="28" t="str">
        <x:v>Business case, legal &amp; commercial</x:v>
      </x:c>
      <x:c r="B25" s="28" t="str">
        <x:v>Learning Capital legal, accounting, tax and commercial design</x:v>
      </x:c>
      <x:c r="C25" s="28" t="str">
        <x:v>1,000 specialist hours × $200</x:v>
      </x:c>
      <x:c r="D25" s="40" t="n">
        <x:v>1000</x:v>
      </x:c>
      <x:c r="E25" s="40" t="str">
        <x:v>hour</x:v>
      </x:c>
      <x:c r="F25" s="377" t="n">
        <x:v>200</x:v>
      </x:c>
      <x:c r="G25" s="378" t="n">
        <x:f>D25*F25*Assumptions!$D$9</x:f>
        <x:v>160000</x:v>
      </x:c>
      <x:c r="H25" s="378" t="n">
        <x:f>D25*F25*Assumptions!$E$9</x:f>
        <x:v>200000</x:v>
      </x:c>
      <x:c r="I25" s="378" t="n">
        <x:f>D25*F25*Assumptions!$F$9</x:f>
        <x:v>260000</x:v>
      </x:c>
      <x:c r="J25" s="35" t="str">
        <x:v>One-off</x:v>
      </x:c>
      <x:c r="K25" s="35" t="str">
        <x:v>A01;S07</x:v>
      </x:c>
      <x:c r="L25" s="35" t="str">
        <x:v>Quote required</x:v>
      </x:c>
      <x:c r="M25" s="35" t="str">
        <x:v>Covers legal ownership, beneficial ownership, Crown control, vesting, withdrawal restrictions, public-sector accounting, tax, investment mandate, provider and custodian procurement, KiwiSaver policy options and payment contracts.</x:v>
      </x:c>
      <x:c r="N25" s="339"/>
      <x:c r="O25" s="339"/>
      <x:c r="P25" s="339"/>
      <x:c r="Q25" s="339"/>
      <x:c r="R25" s="339"/>
      <x:c r="S25" s="339"/>
      <x:c r="T25" s="339"/>
      <x:c r="U25" s="339"/>
      <x:c r="V25" s="339"/>
      <x:c r="W25" s="339"/>
      <x:c r="X25" s="339"/>
      <x:c r="Y25" s="339"/>
      <x:c r="Z25" s="339"/>
    </x:row>
    <x:row r="26">
      <x:c r="A26" s="28" t="str">
        <x:v>Business case, legal &amp; commercial</x:v>
      </x:c>
      <x:c r="B26" s="28" t="str">
        <x:v>Privacy, data-sharing, ethics and financial-services safeguards</x:v>
      </x:c>
      <x:c r="C26" s="28" t="str">
        <x:v>900 professional hours × $200</x:v>
      </x:c>
      <x:c r="D26" s="40" t="n">
        <x:v>900</x:v>
      </x:c>
      <x:c r="E26" s="40" t="str">
        <x:v>hour</x:v>
      </x:c>
      <x:c r="F26" s="377" t="n">
        <x:v>200</x:v>
      </x:c>
      <x:c r="G26" s="378" t="n">
        <x:f>D26*F26*Assumptions!$D$9</x:f>
        <x:v>144000</x:v>
      </x:c>
      <x:c r="H26" s="378" t="n">
        <x:f>D26*F26*Assumptions!$E$9</x:f>
        <x:v>180000</x:v>
      </x:c>
      <x:c r="I26" s="378" t="n">
        <x:f>D26*F26*Assumptions!$F$9</x:f>
        <x:v>234000</x:v>
      </x:c>
      <x:c r="J26" s="35" t="str">
        <x:v>One-off</x:v>
      </x:c>
      <x:c r="K26" s="35" t="str">
        <x:v>A01;S15</x:v>
      </x:c>
      <x:c r="L26" s="35" t="str">
        <x:v>Quote required</x:v>
      </x:c>
      <x:c r="M26" s="35" t="str">
        <x:v>Includes child-data safeguards, PIA, information sharing, complaints, market-loss communication, participant statements and regulated-provider interfaces.</x:v>
      </x:c>
      <x:c r="N26" s="339"/>
      <x:c r="O26" s="339"/>
      <x:c r="P26" s="339"/>
      <x:c r="Q26" s="339"/>
      <x:c r="R26" s="339"/>
      <x:c r="S26" s="339"/>
      <x:c r="T26" s="339"/>
      <x:c r="U26" s="339"/>
      <x:c r="V26" s="339"/>
      <x:c r="W26" s="339"/>
      <x:c r="X26" s="339"/>
      <x:c r="Y26" s="339"/>
      <x:c r="Z26" s="339"/>
    </x:row>
    <x:row r="27">
      <x:c r="A27" s="28" t="str">
        <x:v>Business case, legal &amp; commercial</x:v>
      </x:c>
      <x:c r="B27" s="28" t="str">
        <x:v>Governance establishment and secretariat design</x:v>
      </x:c>
      <x:c r="C27" s="28" t="str">
        <x:v>400 professional hours × $200</x:v>
      </x:c>
      <x:c r="D27" s="40" t="n">
        <x:v>400</x:v>
      </x:c>
      <x:c r="E27" s="40" t="str">
        <x:v>hour</x:v>
      </x:c>
      <x:c r="F27" s="377" t="n">
        <x:v>200</x:v>
      </x:c>
      <x:c r="G27" s="378" t="n">
        <x:f>D27*F27*Assumptions!$D$9</x:f>
        <x:v>64000</x:v>
      </x:c>
      <x:c r="H27" s="378" t="n">
        <x:f>D27*F27*Assumptions!$E$9</x:f>
        <x:v>80000</x:v>
      </x:c>
      <x:c r="I27" s="378" t="n">
        <x:f>D27*F27*Assumptions!$F$9</x:f>
        <x:v>104000</x:v>
      </x:c>
      <x:c r="J27" s="35" t="str">
        <x:v>One-off</x:v>
      </x:c>
      <x:c r="K27" s="35" t="str">
        <x:v>A01;S14</x:v>
      </x:c>
      <x:c r="L27" s="35" t="str">
        <x:v>Quote required</x:v>
      </x:c>
      <x:c r="M27" s="35" t="str">
        <x:v>Confirm legal form, decision rights and fee classification.</x:v>
      </x:c>
      <x:c r="N27" s="339"/>
      <x:c r="O27" s="339"/>
      <x:c r="P27" s="339"/>
      <x:c r="Q27" s="339"/>
      <x:c r="R27" s="339"/>
      <x:c r="S27" s="339"/>
      <x:c r="T27" s="339"/>
      <x:c r="U27" s="339"/>
      <x:c r="V27" s="339"/>
      <x:c r="W27" s="339"/>
      <x:c r="X27" s="339"/>
      <x:c r="Y27" s="339"/>
      <x:c r="Z27" s="339"/>
    </x:row>
    <x:row r="28">
      <x:c r="A28" s="373" t="str">
        <x:v>Business case, legal &amp; commercial subtotal</x:v>
      </x:c>
      <x:c r="B28" s="373"/>
      <x:c r="C28" s="373"/>
      <x:c r="D28" s="374"/>
      <x:c r="E28" s="374"/>
      <x:c r="F28" s="375"/>
      <x:c r="G28" s="376" t="n">
        <x:f>SUM(G23:G27)</x:f>
        <x:v>752000</x:v>
      </x:c>
      <x:c r="H28" s="376" t="n">
        <x:f>SUM(H23:H27)</x:f>
        <x:v>940000</x:v>
      </x:c>
      <x:c r="I28" s="376" t="n">
        <x:f>SUM(I23:I27)</x:f>
        <x:v>1222000</x:v>
      </x:c>
      <x:c r="J28" s="373"/>
      <x:c r="K28" s="373"/>
      <x:c r="L28" s="373"/>
      <x:c r="M28" s="373"/>
      <x:c r="N28" s="339"/>
      <x:c r="O28" s="339"/>
      <x:c r="P28" s="339"/>
      <x:c r="Q28" s="339"/>
      <x:c r="R28" s="339"/>
      <x:c r="S28" s="339"/>
      <x:c r="T28" s="339"/>
      <x:c r="U28" s="339"/>
      <x:c r="V28" s="339"/>
      <x:c r="W28" s="339"/>
      <x:c r="X28" s="339"/>
      <x:c r="Y28" s="339"/>
      <x:c r="Z28" s="339"/>
    </x:row>
    <x:row r="29">
      <x:c r="A29" s="28"/>
      <x:c r="B29" s="28"/>
      <x:c r="C29" s="28"/>
      <x:c r="D29" s="40"/>
      <x:c r="E29" s="40"/>
      <x:c r="F29" s="48"/>
      <x:c r="G29" s="372"/>
      <x:c r="H29" s="372"/>
      <x:c r="I29" s="372"/>
      <x:c r="J29" s="28"/>
      <x:c r="K29" s="28"/>
      <x:c r="L29" s="28"/>
      <x:c r="M29" s="28"/>
      <x:c r="N29" s="339"/>
      <x:c r="O29" s="339"/>
      <x:c r="P29" s="339"/>
      <x:c r="Q29" s="339"/>
      <x:c r="R29" s="339"/>
      <x:c r="S29" s="339"/>
      <x:c r="T29" s="339"/>
      <x:c r="U29" s="339"/>
      <x:c r="V29" s="339"/>
      <x:c r="W29" s="339"/>
      <x:c r="X29" s="339"/>
      <x:c r="Y29" s="339"/>
      <x:c r="Z29" s="339"/>
    </x:row>
    <x:row r="30" ht="21" customHeight="1">
      <x:c r="A30" s="368" t="str">
        <x:v>Technology discovery &amp; secure prototype</x:v>
      </x:c>
      <x:c r="B30" s="368" t="str">
        <x:v>Technology discovery &amp; secure prototype</x:v>
      </x:c>
      <x:c r="C30" s="368" t="str">
        <x:v>Technology discovery &amp; secure prototype</x:v>
      </x:c>
      <x:c r="D30" s="369" t="str">
        <x:v>Technology discovery &amp; secure prototype</x:v>
      </x:c>
      <x:c r="E30" s="369" t="str">
        <x:v>Technology discovery &amp; secure prototype</x:v>
      </x:c>
      <x:c r="F30" s="370" t="str">
        <x:v>Technology discovery &amp; secure prototype</x:v>
      </x:c>
      <x:c r="G30" s="371" t="str">
        <x:v>Technology discovery &amp; secure prototype</x:v>
      </x:c>
      <x:c r="H30" s="371" t="str">
        <x:v>Technology discovery &amp; secure prototype</x:v>
      </x:c>
      <x:c r="I30" s="371" t="str">
        <x:v>Technology discovery &amp; secure prototype</x:v>
      </x:c>
      <x:c r="J30" s="368" t="str">
        <x:v>Technology discovery &amp; secure prototype</x:v>
      </x:c>
      <x:c r="K30" s="368" t="str">
        <x:v>Technology discovery &amp; secure prototype</x:v>
      </x:c>
      <x:c r="L30" s="368" t="str">
        <x:v>Technology discovery &amp; secure prototype</x:v>
      </x:c>
      <x:c r="M30" s="368" t="str">
        <x:v>Technology discovery &amp; secure prototype</x:v>
      </x:c>
      <x:c r="N30" s="339"/>
      <x:c r="O30" s="339"/>
      <x:c r="P30" s="339"/>
      <x:c r="Q30" s="339"/>
      <x:c r="R30" s="339"/>
      <x:c r="S30" s="339"/>
      <x:c r="T30" s="339"/>
      <x:c r="U30" s="339"/>
      <x:c r="V30" s="339"/>
      <x:c r="W30" s="339"/>
      <x:c r="X30" s="339"/>
      <x:c r="Y30" s="339"/>
      <x:c r="Z30" s="339"/>
    </x:row>
    <x:row r="31">
      <x:c r="A31" s="28" t="str">
        <x:v>Technology discovery &amp; secure prototype</x:v>
      </x:c>
      <x:c r="B31" s="28" t="str">
        <x:v>Product Lead</x:v>
      </x:c>
      <x:c r="C31" s="28" t="str">
        <x:v>1.0 loaded FTE-year</x:v>
      </x:c>
      <x:c r="D31" s="40" t="n">
        <x:v>1</x:v>
      </x:c>
      <x:c r="E31" s="40" t="str">
        <x:v>FTE-year</x:v>
      </x:c>
      <x:c r="F31" s="48" t="n">
        <x:v>160000</x:v>
      </x:c>
      <x:c r="G31" s="372" t="n">
        <x:f>D31*F31*Assumptions!$D$9</x:f>
        <x:v>128000</x:v>
      </x:c>
      <x:c r="H31" s="372" t="n">
        <x:f>D31*F31*Assumptions!$E$9</x:f>
        <x:v>160000</x:v>
      </x:c>
      <x:c r="I31" s="372" t="n">
        <x:f>D31*F31*Assumptions!$F$9</x:f>
        <x:v>208000</x:v>
      </x:c>
      <x:c r="J31" s="28" t="str">
        <x:v>One-off</x:v>
      </x:c>
      <x:c r="K31" s="28" t="str">
        <x:v>S09;S10</x:v>
      </x:c>
      <x:c r="L31" s="28" t="str">
        <x:v>Benchmark</x:v>
      </x:c>
      <x:c r="M31" s="28" t="str">
        <x:v>Confirm build-vs-buy and agency ownership.</x:v>
      </x:c>
      <x:c r="N31" s="339"/>
      <x:c r="O31" s="339"/>
      <x:c r="P31" s="339"/>
      <x:c r="Q31" s="339"/>
      <x:c r="R31" s="339"/>
      <x:c r="S31" s="339"/>
      <x:c r="T31" s="339"/>
      <x:c r="U31" s="339"/>
      <x:c r="V31" s="339"/>
      <x:c r="W31" s="339"/>
      <x:c r="X31" s="339"/>
      <x:c r="Y31" s="339"/>
      <x:c r="Z31" s="339"/>
    </x:row>
    <x:row r="32">
      <x:c r="A32" s="28" t="str">
        <x:v>Technology discovery &amp; secure prototype</x:v>
      </x:c>
      <x:c r="B32" s="28" t="str">
        <x:v>UX / Service Designer</x:v>
      </x:c>
      <x:c r="C32" s="28" t="str">
        <x:v>1.0 loaded FTE-year</x:v>
      </x:c>
      <x:c r="D32" s="40" t="n">
        <x:v>1</x:v>
      </x:c>
      <x:c r="E32" s="40" t="str">
        <x:v>FTE-year</x:v>
      </x:c>
      <x:c r="F32" s="48" t="n">
        <x:v>145000</x:v>
      </x:c>
      <x:c r="G32" s="372" t="n">
        <x:f>D32*F32*Assumptions!$D$9</x:f>
        <x:v>116000</x:v>
      </x:c>
      <x:c r="H32" s="372" t="n">
        <x:f>D32*F32*Assumptions!$E$9</x:f>
        <x:v>145000</x:v>
      </x:c>
      <x:c r="I32" s="372" t="n">
        <x:f>D32*F32*Assumptions!$F$9</x:f>
        <x:v>188500</x:v>
      </x:c>
      <x:c r="J32" s="28" t="str">
        <x:v>One-off</x:v>
      </x:c>
      <x:c r="K32" s="28" t="str">
        <x:v>S09;S12</x:v>
      </x:c>
      <x:c r="L32" s="28" t="str">
        <x:v>Benchmark</x:v>
      </x:c>
      <x:c r="M32" s="28" t="str">
        <x:v>Includes accessible and culturally responsive service design.</x:v>
      </x:c>
      <x:c r="N32" s="339"/>
      <x:c r="O32" s="339"/>
      <x:c r="P32" s="339"/>
      <x:c r="Q32" s="339"/>
      <x:c r="R32" s="339"/>
      <x:c r="S32" s="339"/>
      <x:c r="T32" s="339"/>
      <x:c r="U32" s="339"/>
      <x:c r="V32" s="339"/>
      <x:c r="W32" s="339"/>
      <x:c r="X32" s="339"/>
      <x:c r="Y32" s="339"/>
      <x:c r="Z32" s="339"/>
    </x:row>
    <x:row r="33">
      <x:c r="A33" s="28" t="str">
        <x:v>Technology discovery &amp; secure prototype</x:v>
      </x:c>
      <x:c r="B33" s="28" t="str">
        <x:v>Engineering / data / integration team</x:v>
      </x:c>
      <x:c r="C33" s="28" t="str">
        <x:v>2.25 FTE-years (3 people for 9 months)</x:v>
      </x:c>
      <x:c r="D33" s="40" t="n">
        <x:v>2.25</x:v>
      </x:c>
      <x:c r="E33" s="40" t="str">
        <x:v>FTE-year</x:v>
      </x:c>
      <x:c r="F33" s="377" t="n">
        <x:v>160000</x:v>
      </x:c>
      <x:c r="G33" s="378" t="n">
        <x:f>D33*F33*Assumptions!$D$9</x:f>
        <x:v>288000</x:v>
      </x:c>
      <x:c r="H33" s="378" t="n">
        <x:f>D33*F33*Assumptions!$E$9</x:f>
        <x:v>360000</x:v>
      </x:c>
      <x:c r="I33" s="378" t="n">
        <x:f>D33*F33*Assumptions!$F$9</x:f>
        <x:v>468000</x:v>
      </x:c>
      <x:c r="J33" s="35" t="str">
        <x:v>One-off</x:v>
      </x:c>
      <x:c r="K33" s="35" t="str">
        <x:v>S09;S13;A04</x:v>
      </x:c>
      <x:c r="L33" s="35" t="str">
        <x:v>Benchmark + allowance</x:v>
      </x:c>
      <x:c r="M33" s="35" t="str">
        <x:v>Prototype only; production build is in Pilot Year 1.</x:v>
      </x:c>
      <x:c r="N33" s="339"/>
      <x:c r="O33" s="339"/>
      <x:c r="P33" s="339"/>
      <x:c r="Q33" s="339"/>
      <x:c r="R33" s="339"/>
      <x:c r="S33" s="339"/>
      <x:c r="T33" s="339"/>
      <x:c r="U33" s="339"/>
      <x:c r="V33" s="339"/>
      <x:c r="W33" s="339"/>
      <x:c r="X33" s="339"/>
      <x:c r="Y33" s="339"/>
      <x:c r="Z33" s="339"/>
    </x:row>
    <x:row r="34">
      <x:c r="A34" s="28" t="str">
        <x:v>Technology discovery &amp; secure prototype</x:v>
      </x:c>
      <x:c r="B34" s="28" t="str">
        <x:v>Security architecture, threat modelling and assurance</x:v>
      </x:c>
      <x:c r="C34" s="28" t="str">
        <x:v>1,000 professional hours × $200</x:v>
      </x:c>
      <x:c r="D34" s="40" t="n">
        <x:v>1000</x:v>
      </x:c>
      <x:c r="E34" s="40" t="str">
        <x:v>hour</x:v>
      </x:c>
      <x:c r="F34" s="377" t="n">
        <x:v>200</x:v>
      </x:c>
      <x:c r="G34" s="378" t="n">
        <x:f>D34*F34*Assumptions!$D$9</x:f>
        <x:v>160000</x:v>
      </x:c>
      <x:c r="H34" s="378" t="n">
        <x:f>D34*F34*Assumptions!$E$9</x:f>
        <x:v>200000</x:v>
      </x:c>
      <x:c r="I34" s="378" t="n">
        <x:f>D34*F34*Assumptions!$F$9</x:f>
        <x:v>260000</x:v>
      </x:c>
      <x:c r="J34" s="35" t="str">
        <x:v>One-off</x:v>
      </x:c>
      <x:c r="K34" s="35" t="str">
        <x:v>A01;S16;S20</x:v>
      </x:c>
      <x:c r="L34" s="35" t="str">
        <x:v>Quote required</x:v>
      </x:c>
      <x:c r="M34" s="35" t="str">
        <x:v>Includes independent security review; penetration test scope depends on prototype.</x:v>
      </x:c>
      <x:c r="N34" s="339"/>
      <x:c r="O34" s="339"/>
      <x:c r="P34" s="339"/>
      <x:c r="Q34" s="339"/>
      <x:c r="R34" s="339"/>
      <x:c r="S34" s="339"/>
      <x:c r="T34" s="339"/>
      <x:c r="U34" s="339"/>
      <x:c r="V34" s="339"/>
      <x:c r="W34" s="339"/>
      <x:c r="X34" s="339"/>
      <x:c r="Y34" s="339"/>
      <x:c r="Z34" s="339"/>
    </x:row>
    <x:row r="35">
      <x:c r="A35" s="28" t="str">
        <x:v>Technology discovery &amp; secure prototype</x:v>
      </x:c>
      <x:c r="B35" s="28" t="str">
        <x:v>School-SMS, payment and Learning Capital integration discovery</x:v>
      </x:c>
      <x:c r="C35" s="28" t="str">
        <x:v>750 professional hours × $200</x:v>
      </x:c>
      <x:c r="D35" s="40" t="n">
        <x:v>750</x:v>
      </x:c>
      <x:c r="E35" s="40" t="str">
        <x:v>hour</x:v>
      </x:c>
      <x:c r="F35" s="377" t="n">
        <x:v>200</x:v>
      </x:c>
      <x:c r="G35" s="378" t="n">
        <x:f>D35*F35*Assumptions!$D$9</x:f>
        <x:v>120000</x:v>
      </x:c>
      <x:c r="H35" s="378" t="n">
        <x:f>D35*F35*Assumptions!$E$9</x:f>
        <x:v>150000</x:v>
      </x:c>
      <x:c r="I35" s="378" t="n">
        <x:f>D35*F35*Assumptions!$F$9</x:f>
        <x:v>195000</x:v>
      </x:c>
      <x:c r="J35" s="35" t="str">
        <x:v>One-off</x:v>
      </x:c>
      <x:c r="K35" s="35" t="str">
        <x:v>A01;S18</x:v>
      </x:c>
      <x:c r="L35" s="35" t="str">
        <x:v>Quote required</x:v>
      </x:c>
      <x:c r="M35" s="35" t="str">
        <x:v>Requires StudyLink/MSD, account-provider, custodian, tertiary-provider and apprenticeship verification interfaces.</x:v>
      </x:c>
      <x:c r="N35" s="339"/>
      <x:c r="O35" s="339"/>
      <x:c r="P35" s="339"/>
      <x:c r="Q35" s="339"/>
      <x:c r="R35" s="339"/>
      <x:c r="S35" s="339"/>
      <x:c r="T35" s="339"/>
      <x:c r="U35" s="339"/>
      <x:c r="V35" s="339"/>
      <x:c r="W35" s="339"/>
      <x:c r="X35" s="339"/>
      <x:c r="Y35" s="339"/>
      <x:c r="Z35" s="339"/>
    </x:row>
    <x:row r="36">
      <x:c r="A36" s="28" t="str">
        <x:v>Technology discovery &amp; secure prototype</x:v>
      </x:c>
      <x:c r="B36" s="28" t="str">
        <x:v>Cloud, development and test tooling</x:v>
      </x:c>
      <x:c r="C36" s="28" t="str">
        <x:v>12 months × $5,000 allowance</x:v>
      </x:c>
      <x:c r="D36" s="40" t="n">
        <x:v>12</x:v>
      </x:c>
      <x:c r="E36" s="40" t="str">
        <x:v>month</x:v>
      </x:c>
      <x:c r="F36" s="377" t="n">
        <x:v>5000</x:v>
      </x:c>
      <x:c r="G36" s="378" t="n">
        <x:f>D36*F36*Assumptions!$D$9</x:f>
        <x:v>48000</x:v>
      </x:c>
      <x:c r="H36" s="378" t="n">
        <x:f>D36*F36*Assumptions!$E$9</x:f>
        <x:v>60000</x:v>
      </x:c>
      <x:c r="I36" s="378" t="n">
        <x:f>D36*F36*Assumptions!$F$9</x:f>
        <x:v>78000</x:v>
      </x:c>
      <x:c r="J36" s="35" t="str">
        <x:v>One-off</x:v>
      </x:c>
      <x:c r="K36" s="35" t="str">
        <x:v>A04;S19</x:v>
      </x:c>
      <x:c r="L36" s="35" t="str">
        <x:v>Quote required</x:v>
      </x:c>
      <x:c r="M36" s="35" t="str">
        <x:v>Architecture and data residency will determine actual cost.</x:v>
      </x:c>
      <x:c r="N36" s="339"/>
      <x:c r="O36" s="339"/>
      <x:c r="P36" s="339"/>
      <x:c r="Q36" s="339"/>
      <x:c r="R36" s="339"/>
      <x:c r="S36" s="339"/>
      <x:c r="T36" s="339"/>
      <x:c r="U36" s="339"/>
      <x:c r="V36" s="339"/>
      <x:c r="W36" s="339"/>
      <x:c r="X36" s="339"/>
      <x:c r="Y36" s="339"/>
      <x:c r="Z36" s="339"/>
    </x:row>
    <x:row r="37">
      <x:c r="A37" s="373" t="str">
        <x:v>Technology discovery &amp; secure prototype subtotal</x:v>
      </x:c>
      <x:c r="B37" s="373"/>
      <x:c r="C37" s="373"/>
      <x:c r="D37" s="374"/>
      <x:c r="E37" s="374"/>
      <x:c r="F37" s="375"/>
      <x:c r="G37" s="376" t="n">
        <x:f>SUM(G31:G36)</x:f>
        <x:v>860000</x:v>
      </x:c>
      <x:c r="H37" s="376" t="n">
        <x:f>SUM(H31:H36)</x:f>
        <x:v>1075000</x:v>
      </x:c>
      <x:c r="I37" s="376" t="n">
        <x:f>SUM(I31:I36)</x:f>
        <x:v>1397500</x:v>
      </x:c>
      <x:c r="J37" s="373"/>
      <x:c r="K37" s="373"/>
      <x:c r="L37" s="373"/>
      <x:c r="M37" s="373"/>
      <x:c r="N37" s="339"/>
      <x:c r="O37" s="339"/>
      <x:c r="P37" s="339"/>
      <x:c r="Q37" s="339"/>
      <x:c r="R37" s="339"/>
      <x:c r="S37" s="339"/>
      <x:c r="T37" s="339"/>
      <x:c r="U37" s="339"/>
      <x:c r="V37" s="339"/>
      <x:c r="W37" s="339"/>
      <x:c r="X37" s="339"/>
      <x:c r="Y37" s="339"/>
      <x:c r="Z37" s="339"/>
    </x:row>
    <x:row r="38">
      <x:c r="A38" s="28"/>
      <x:c r="B38" s="28"/>
      <x:c r="C38" s="28"/>
      <x:c r="D38" s="40"/>
      <x:c r="E38" s="40"/>
      <x:c r="F38" s="48"/>
      <x:c r="G38" s="372"/>
      <x:c r="H38" s="372"/>
      <x:c r="I38" s="372"/>
      <x:c r="J38" s="28"/>
      <x:c r="K38" s="28"/>
      <x:c r="L38" s="28"/>
      <x:c r="M38" s="28"/>
      <x:c r="N38" s="339"/>
      <x:c r="O38" s="339"/>
      <x:c r="P38" s="339"/>
      <x:c r="Q38" s="339"/>
      <x:c r="R38" s="339"/>
      <x:c r="S38" s="339"/>
      <x:c r="T38" s="339"/>
      <x:c r="U38" s="339"/>
      <x:c r="V38" s="339"/>
      <x:c r="W38" s="339"/>
      <x:c r="X38" s="339"/>
      <x:c r="Y38" s="339"/>
      <x:c r="Z38" s="339"/>
    </x:row>
    <x:row r="39" ht="21" customHeight="1">
      <x:c r="A39" s="368" t="str">
        <x:v>Evaluation design &amp; baseline</x:v>
      </x:c>
      <x:c r="B39" s="368" t="str">
        <x:v>Evaluation design &amp; baseline</x:v>
      </x:c>
      <x:c r="C39" s="368" t="str">
        <x:v>Evaluation design &amp; baseline</x:v>
      </x:c>
      <x:c r="D39" s="369" t="str">
        <x:v>Evaluation design &amp; baseline</x:v>
      </x:c>
      <x:c r="E39" s="369" t="str">
        <x:v>Evaluation design &amp; baseline</x:v>
      </x:c>
      <x:c r="F39" s="370" t="str">
        <x:v>Evaluation design &amp; baseline</x:v>
      </x:c>
      <x:c r="G39" s="371" t="str">
        <x:v>Evaluation design &amp; baseline</x:v>
      </x:c>
      <x:c r="H39" s="371" t="str">
        <x:v>Evaluation design &amp; baseline</x:v>
      </x:c>
      <x:c r="I39" s="371" t="str">
        <x:v>Evaluation design &amp; baseline</x:v>
      </x:c>
      <x:c r="J39" s="368" t="str">
        <x:v>Evaluation design &amp; baseline</x:v>
      </x:c>
      <x:c r="K39" s="368" t="str">
        <x:v>Evaluation design &amp; baseline</x:v>
      </x:c>
      <x:c r="L39" s="368" t="str">
        <x:v>Evaluation design &amp; baseline</x:v>
      </x:c>
      <x:c r="M39" s="368" t="str">
        <x:v>Evaluation design &amp; baseline</x:v>
      </x:c>
      <x:c r="N39" s="339"/>
      <x:c r="O39" s="339"/>
      <x:c r="P39" s="339"/>
      <x:c r="Q39" s="339"/>
      <x:c r="R39" s="339"/>
      <x:c r="S39" s="339"/>
      <x:c r="T39" s="339"/>
      <x:c r="U39" s="339"/>
      <x:c r="V39" s="339"/>
      <x:c r="W39" s="339"/>
      <x:c r="X39" s="339"/>
      <x:c r="Y39" s="339"/>
      <x:c r="Z39" s="339"/>
    </x:row>
    <x:row r="40">
      <x:c r="A40" s="28" t="str">
        <x:v>Evaluation design &amp; baseline</x:v>
      </x:c>
      <x:c r="B40" s="28" t="str">
        <x:v>Trial design, power analysis and pre-registration</x:v>
      </x:c>
      <x:c r="C40" s="28" t="str">
        <x:v>1,250 professional hours × $200</x:v>
      </x:c>
      <x:c r="D40" s="40" t="n">
        <x:v>1250</x:v>
      </x:c>
      <x:c r="E40" s="40" t="str">
        <x:v>hour</x:v>
      </x:c>
      <x:c r="F40" s="377" t="n">
        <x:v>200</x:v>
      </x:c>
      <x:c r="G40" s="378" t="n">
        <x:f>D40*F40*Assumptions!$D$9</x:f>
        <x:v>200000</x:v>
      </x:c>
      <x:c r="H40" s="378" t="n">
        <x:f>D40*F40*Assumptions!$E$9</x:f>
        <x:v>250000</x:v>
      </x:c>
      <x:c r="I40" s="378" t="n">
        <x:f>D40*F40*Assumptions!$F$9</x:f>
        <x:v>325000</x:v>
      </x:c>
      <x:c r="J40" s="35" t="str">
        <x:v>One-off</x:v>
      </x:c>
      <x:c r="K40" s="35" t="str">
        <x:v>A01;S04;S05</x:v>
      </x:c>
      <x:c r="L40" s="35" t="str">
        <x:v>Quote required</x:v>
      </x:c>
      <x:c r="M40" s="35" t="str">
        <x:v>Independent evaluator must confirm design and sample size.</x:v>
      </x:c>
      <x:c r="N40" s="339"/>
      <x:c r="O40" s="339"/>
      <x:c r="P40" s="339"/>
      <x:c r="Q40" s="339"/>
      <x:c r="R40" s="339"/>
      <x:c r="S40" s="339"/>
      <x:c r="T40" s="339"/>
      <x:c r="U40" s="339"/>
      <x:c r="V40" s="339"/>
      <x:c r="W40" s="339"/>
      <x:c r="X40" s="339"/>
      <x:c r="Y40" s="339"/>
      <x:c r="Z40" s="339"/>
    </x:row>
    <x:row r="41">
      <x:c r="A41" s="28" t="str">
        <x:v>Evaluation design &amp; baseline</x:v>
      </x:c>
      <x:c r="B41" s="28" t="str">
        <x:v>Data linkage, ethics and access preparation</x:v>
      </x:c>
      <x:c r="C41" s="28" t="str">
        <x:v>600 professional hours × $200</x:v>
      </x:c>
      <x:c r="D41" s="40" t="n">
        <x:v>600</x:v>
      </x:c>
      <x:c r="E41" s="40" t="str">
        <x:v>hour</x:v>
      </x:c>
      <x:c r="F41" s="377" t="n">
        <x:v>200</x:v>
      </x:c>
      <x:c r="G41" s="378" t="n">
        <x:f>D41*F41*Assumptions!$D$9</x:f>
        <x:v>96000</x:v>
      </x:c>
      <x:c r="H41" s="378" t="n">
        <x:f>D41*F41*Assumptions!$E$9</x:f>
        <x:v>120000</x:v>
      </x:c>
      <x:c r="I41" s="378" t="n">
        <x:f>D41*F41*Assumptions!$F$9</x:f>
        <x:v>156000</x:v>
      </x:c>
      <x:c r="J41" s="35" t="str">
        <x:v>One-off</x:v>
      </x:c>
      <x:c r="K41" s="35" t="str">
        <x:v>A01;S15</x:v>
      </x:c>
      <x:c r="L41" s="35" t="str">
        <x:v>Quote required</x:v>
      </x:c>
      <x:c r="M41" s="35" t="str">
        <x:v>IDI/data access fees and agency effort must be confirmed.</x:v>
      </x:c>
      <x:c r="N41" s="339"/>
      <x:c r="O41" s="339"/>
      <x:c r="P41" s="339"/>
      <x:c r="Q41" s="339"/>
      <x:c r="R41" s="339"/>
      <x:c r="S41" s="339"/>
      <x:c r="T41" s="339"/>
      <x:c r="U41" s="339"/>
      <x:c r="V41" s="339"/>
      <x:c r="W41" s="339"/>
      <x:c r="X41" s="339"/>
      <x:c r="Y41" s="339"/>
      <x:c r="Z41" s="339"/>
    </x:row>
    <x:row r="42">
      <x:c r="A42" s="28" t="str">
        <x:v>Evaluation design &amp; baseline</x:v>
      </x:c>
      <x:c r="B42" s="28" t="str">
        <x:v>Baseline instruments and cultural measures</x:v>
      </x:c>
      <x:c r="C42" s="28" t="str">
        <x:v>750 professional hours × $200</x:v>
      </x:c>
      <x:c r="D42" s="40" t="n">
        <x:v>750</x:v>
      </x:c>
      <x:c r="E42" s="40" t="str">
        <x:v>hour</x:v>
      </x:c>
      <x:c r="F42" s="377" t="n">
        <x:v>200</x:v>
      </x:c>
      <x:c r="G42" s="378" t="n">
        <x:f>D42*F42*Assumptions!$D$9</x:f>
        <x:v>120000</x:v>
      </x:c>
      <x:c r="H42" s="378" t="n">
        <x:f>D42*F42*Assumptions!$E$9</x:f>
        <x:v>150000</x:v>
      </x:c>
      <x:c r="I42" s="378" t="n">
        <x:f>D42*F42*Assumptions!$F$9</x:f>
        <x:v>195000</x:v>
      </x:c>
      <x:c r="J42" s="35" t="str">
        <x:v>One-off</x:v>
      </x:c>
      <x:c r="K42" s="35" t="str">
        <x:v>A01;S01</x:v>
      </x:c>
      <x:c r="L42" s="35" t="str">
        <x:v>Quote required</x:v>
      </x:c>
      <x:c r="M42" s="35" t="str">
        <x:v>Includes wellbeing, belonging, work displacement and school burden measures.</x:v>
      </x:c>
      <x:c r="N42" s="339"/>
      <x:c r="O42" s="339"/>
      <x:c r="P42" s="339"/>
      <x:c r="Q42" s="339"/>
      <x:c r="R42" s="339"/>
      <x:c r="S42" s="339"/>
      <x:c r="T42" s="339"/>
      <x:c r="U42" s="339"/>
      <x:c r="V42" s="339"/>
      <x:c r="W42" s="339"/>
      <x:c r="X42" s="339"/>
      <x:c r="Y42" s="339"/>
      <x:c r="Z42" s="339"/>
    </x:row>
    <x:row r="43">
      <x:c r="A43" s="373" t="str">
        <x:v>Evaluation design &amp; baseline subtotal</x:v>
      </x:c>
      <x:c r="B43" s="373"/>
      <x:c r="C43" s="373"/>
      <x:c r="D43" s="374"/>
      <x:c r="E43" s="374"/>
      <x:c r="F43" s="375"/>
      <x:c r="G43" s="376" t="n">
        <x:f>SUM(G40:G42)</x:f>
        <x:v>416000</x:v>
      </x:c>
      <x:c r="H43" s="376" t="n">
        <x:f>SUM(H40:H42)</x:f>
        <x:v>520000</x:v>
      </x:c>
      <x:c r="I43" s="376" t="n">
        <x:f>SUM(I40:I42)</x:f>
        <x:v>676000</x:v>
      </x:c>
      <x:c r="J43" s="373"/>
      <x:c r="K43" s="373"/>
      <x:c r="L43" s="373"/>
      <x:c r="M43" s="373"/>
      <x:c r="N43" s="339"/>
      <x:c r="O43" s="339"/>
      <x:c r="P43" s="339"/>
      <x:c r="Q43" s="339"/>
      <x:c r="R43" s="339"/>
      <x:c r="S43" s="339"/>
      <x:c r="T43" s="339"/>
      <x:c r="U43" s="339"/>
      <x:c r="V43" s="339"/>
      <x:c r="W43" s="339"/>
      <x:c r="X43" s="339"/>
      <x:c r="Y43" s="339"/>
      <x:c r="Z43" s="339"/>
    </x:row>
    <x:row r="44">
      <x:c r="A44" s="28"/>
      <x:c r="B44" s="28"/>
      <x:c r="C44" s="28"/>
      <x:c r="D44" s="40"/>
      <x:c r="E44" s="40"/>
      <x:c r="F44" s="48"/>
      <x:c r="G44" s="372"/>
      <x:c r="H44" s="372"/>
      <x:c r="I44" s="372"/>
      <x:c r="J44" s="28"/>
      <x:c r="K44" s="28"/>
      <x:c r="L44" s="28"/>
      <x:c r="M44" s="28"/>
      <x:c r="N44" s="339"/>
      <x:c r="O44" s="339"/>
      <x:c r="P44" s="339"/>
      <x:c r="Q44" s="339"/>
      <x:c r="R44" s="339"/>
      <x:c r="S44" s="339"/>
      <x:c r="T44" s="339"/>
      <x:c r="U44" s="339"/>
      <x:c r="V44" s="339"/>
      <x:c r="W44" s="339"/>
      <x:c r="X44" s="339"/>
      <x:c r="Y44" s="339"/>
      <x:c r="Z44" s="339"/>
    </x:row>
    <x:row r="45" ht="21" customHeight="1">
      <x:c r="A45" s="368" t="str">
        <x:v>Implementation readiness &amp; assurance</x:v>
      </x:c>
      <x:c r="B45" s="368" t="str">
        <x:v>Implementation readiness &amp; assurance</x:v>
      </x:c>
      <x:c r="C45" s="368" t="str">
        <x:v>Implementation readiness &amp; assurance</x:v>
      </x:c>
      <x:c r="D45" s="369" t="str">
        <x:v>Implementation readiness &amp; assurance</x:v>
      </x:c>
      <x:c r="E45" s="369" t="str">
        <x:v>Implementation readiness &amp; assurance</x:v>
      </x:c>
      <x:c r="F45" s="370" t="str">
        <x:v>Implementation readiness &amp; assurance</x:v>
      </x:c>
      <x:c r="G45" s="371" t="str">
        <x:v>Implementation readiness &amp; assurance</x:v>
      </x:c>
      <x:c r="H45" s="371" t="str">
        <x:v>Implementation readiness &amp; assurance</x:v>
      </x:c>
      <x:c r="I45" s="371" t="str">
        <x:v>Implementation readiness &amp; assurance</x:v>
      </x:c>
      <x:c r="J45" s="368" t="str">
        <x:v>Implementation readiness &amp; assurance</x:v>
      </x:c>
      <x:c r="K45" s="368" t="str">
        <x:v>Implementation readiness &amp; assurance</x:v>
      </x:c>
      <x:c r="L45" s="368" t="str">
        <x:v>Implementation readiness &amp; assurance</x:v>
      </x:c>
      <x:c r="M45" s="368" t="str">
        <x:v>Implementation readiness &amp; assurance</x:v>
      </x:c>
      <x:c r="N45" s="339"/>
      <x:c r="O45" s="339"/>
      <x:c r="P45" s="339"/>
      <x:c r="Q45" s="339"/>
      <x:c r="R45" s="339"/>
      <x:c r="S45" s="339"/>
      <x:c r="T45" s="339"/>
      <x:c r="U45" s="339"/>
      <x:c r="V45" s="339"/>
      <x:c r="W45" s="339"/>
      <x:c r="X45" s="339"/>
      <x:c r="Y45" s="339"/>
      <x:c r="Z45" s="339"/>
    </x:row>
    <x:row r="46">
      <x:c r="A46" s="28" t="str">
        <x:v>Implementation readiness &amp; assurance</x:v>
      </x:c>
      <x:c r="B46" s="28" t="str">
        <x:v>School readiness grants</x:v>
      </x:c>
      <x:c r="C46" s="28" t="str">
        <x:v>8 schools × $40,000 allowance</x:v>
      </x:c>
      <x:c r="D46" s="40" t="n">
        <x:v>8</x:v>
      </x:c>
      <x:c r="E46" s="40" t="str">
        <x:v>school</x:v>
      </x:c>
      <x:c r="F46" s="377" t="n">
        <x:v>40000</x:v>
      </x:c>
      <x:c r="G46" s="378" t="n">
        <x:f>D46*F46*Assumptions!$D$9</x:f>
        <x:v>256000</x:v>
      </x:c>
      <x:c r="H46" s="378" t="n">
        <x:f>D46*F46*Assumptions!$E$9</x:f>
        <x:v>320000</x:v>
      </x:c>
      <x:c r="I46" s="378" t="n">
        <x:f>D46*F46*Assumptions!$F$9</x:f>
        <x:v>416000</x:v>
      </x:c>
      <x:c r="J46" s="35" t="str">
        <x:v>One-off</x:v>
      </x:c>
      <x:c r="K46" s="35" t="str">
        <x:v>A03</x:v>
      </x:c>
      <x:c r="L46" s="35" t="str">
        <x:v>School validation required</x:v>
      </x:c>
      <x:c r="M46" s="35" t="str">
        <x:v>Test actual staffing, timetable, consent and system-integration burden.</x:v>
      </x:c>
      <x:c r="N46" s="339"/>
      <x:c r="O46" s="339"/>
      <x:c r="P46" s="339"/>
      <x:c r="Q46" s="339"/>
      <x:c r="R46" s="339"/>
      <x:c r="S46" s="339"/>
      <x:c r="T46" s="339"/>
      <x:c r="U46" s="339"/>
      <x:c r="V46" s="339"/>
      <x:c r="W46" s="339"/>
      <x:c r="X46" s="339"/>
      <x:c r="Y46" s="339"/>
      <x:c r="Z46" s="339"/>
    </x:row>
    <x:row r="47">
      <x:c r="A47" s="28" t="str">
        <x:v>Implementation readiness &amp; assurance</x:v>
      </x:c>
      <x:c r="B47" s="28" t="str">
        <x:v>Regional partner and site-readiness agreements</x:v>
      </x:c>
      <x:c r="C47" s="28" t="str">
        <x:v>750 professional hours × $200</x:v>
      </x:c>
      <x:c r="D47" s="40" t="n">
        <x:v>750</x:v>
      </x:c>
      <x:c r="E47" s="40" t="str">
        <x:v>hour</x:v>
      </x:c>
      <x:c r="F47" s="377" t="n">
        <x:v>200</x:v>
      </x:c>
      <x:c r="G47" s="378" t="n">
        <x:f>D47*F47*Assumptions!$D$9</x:f>
        <x:v>120000</x:v>
      </x:c>
      <x:c r="H47" s="378" t="n">
        <x:f>D47*F47*Assumptions!$E$9</x:f>
        <x:v>150000</x:v>
      </x:c>
      <x:c r="I47" s="378" t="n">
        <x:f>D47*F47*Assumptions!$F$9</x:f>
        <x:v>195000</x:v>
      </x:c>
      <x:c r="J47" s="35" t="str">
        <x:v>One-off</x:v>
      </x:c>
      <x:c r="K47" s="35" t="str">
        <x:v>A01;S01</x:v>
      </x:c>
      <x:c r="L47" s="35" t="str">
        <x:v>Quote required</x:v>
      </x:c>
      <x:c r="M47" s="35" t="str">
        <x:v>Retail, volunteering, course-provider, safeguarding and escalation agreements.</x:v>
      </x:c>
      <x:c r="N47" s="339"/>
      <x:c r="O47" s="339"/>
      <x:c r="P47" s="339"/>
      <x:c r="Q47" s="339"/>
      <x:c r="R47" s="339"/>
      <x:c r="S47" s="339"/>
      <x:c r="T47" s="339"/>
      <x:c r="U47" s="339"/>
      <x:c r="V47" s="339"/>
      <x:c r="W47" s="339"/>
      <x:c r="X47" s="339"/>
      <x:c r="Y47" s="339"/>
      <x:c r="Z47" s="339"/>
    </x:row>
    <x:row r="48">
      <x:c r="A48" s="28" t="str">
        <x:v>Implementation readiness &amp; assurance</x:v>
      </x:c>
      <x:c r="B48" s="28" t="str">
        <x:v>Communications, financial-literacy interface and implementation materials</x:v>
      </x:c>
      <x:c r="C48" s="28" t="str">
        <x:v>400 professional hours × $200</x:v>
      </x:c>
      <x:c r="D48" s="40" t="n">
        <x:v>400</x:v>
      </x:c>
      <x:c r="E48" s="40" t="str">
        <x:v>hour</x:v>
      </x:c>
      <x:c r="F48" s="377" t="n">
        <x:v>200</x:v>
      </x:c>
      <x:c r="G48" s="378" t="n">
        <x:f>D48*F48*Assumptions!$D$9</x:f>
        <x:v>64000</x:v>
      </x:c>
      <x:c r="H48" s="378" t="n">
        <x:f>D48*F48*Assumptions!$E$9</x:f>
        <x:v>80000</x:v>
      </x:c>
      <x:c r="I48" s="378" t="n">
        <x:f>D48*F48*Assumptions!$F$9</x:f>
        <x:v>104000</x:v>
      </x:c>
      <x:c r="J48" s="35" t="str">
        <x:v>One-off</x:v>
      </x:c>
      <x:c r="K48" s="35" t="str">
        <x:v>A01</x:v>
      </x:c>
      <x:c r="L48" s="35" t="str">
        <x:v>Quote required</x:v>
      </x:c>
      <x:c r="M48" s="35" t="str">
        <x:v>Includes plain-language risk disclosure, account statements, approved-use guidance and staged apprenticeship-withdrawal instructions.</x:v>
      </x:c>
      <x:c r="N48" s="339"/>
      <x:c r="O48" s="339"/>
      <x:c r="P48" s="339"/>
      <x:c r="Q48" s="339"/>
      <x:c r="R48" s="339"/>
      <x:c r="S48" s="339"/>
      <x:c r="T48" s="339"/>
      <x:c r="U48" s="339"/>
      <x:c r="V48" s="339"/>
      <x:c r="W48" s="339"/>
      <x:c r="X48" s="339"/>
      <x:c r="Y48" s="339"/>
      <x:c r="Z48" s="339"/>
    </x:row>
    <x:row r="49">
      <x:c r="A49" s="28" t="str">
        <x:v>Implementation readiness &amp; assurance</x:v>
      </x:c>
      <x:c r="B49" s="28" t="str">
        <x:v>Independent quality assurance / Gateway-style review</x:v>
      </x:c>
      <x:c r="C49" s="28" t="str">
        <x:v>600 professional hours × $200</x:v>
      </x:c>
      <x:c r="D49" s="40" t="n">
        <x:v>600</x:v>
      </x:c>
      <x:c r="E49" s="40" t="str">
        <x:v>hour</x:v>
      </x:c>
      <x:c r="F49" s="377" t="n">
        <x:v>200</x:v>
      </x:c>
      <x:c r="G49" s="378" t="n">
        <x:f>D49*F49*Assumptions!$D$9</x:f>
        <x:v>96000</x:v>
      </x:c>
      <x:c r="H49" s="378" t="n">
        <x:f>D49*F49*Assumptions!$E$9</x:f>
        <x:v>120000</x:v>
      </x:c>
      <x:c r="I49" s="378" t="n">
        <x:f>D49*F49*Assumptions!$F$9</x:f>
        <x:v>156000</x:v>
      </x:c>
      <x:c r="J49" s="35" t="str">
        <x:v>One-off</x:v>
      </x:c>
      <x:c r="K49" s="35" t="str">
        <x:v>A01;S07</x:v>
      </x:c>
      <x:c r="L49" s="35" t="str">
        <x:v>Quote required</x:v>
      </x:c>
      <x:c r="M49" s="35" t="str">
        <x:v>Formal review requirements depend on agency risk assessment.</x:v>
      </x:c>
      <x:c r="N49" s="339"/>
      <x:c r="O49" s="339"/>
      <x:c r="P49" s="339"/>
      <x:c r="Q49" s="339"/>
      <x:c r="R49" s="339"/>
      <x:c r="S49" s="339"/>
      <x:c r="T49" s="339"/>
      <x:c r="U49" s="339"/>
      <x:c r="V49" s="339"/>
      <x:c r="W49" s="339"/>
      <x:c r="X49" s="339"/>
      <x:c r="Y49" s="339"/>
      <x:c r="Z49" s="339"/>
    </x:row>
    <x:row r="50">
      <x:c r="A50" s="373" t="str">
        <x:v>Implementation readiness &amp; assurance subtotal</x:v>
      </x:c>
      <x:c r="B50" s="373"/>
      <x:c r="C50" s="373"/>
      <x:c r="D50" s="374"/>
      <x:c r="E50" s="374"/>
      <x:c r="F50" s="375"/>
      <x:c r="G50" s="376" t="n">
        <x:f>SUM(G46:G49)</x:f>
        <x:v>536000</x:v>
      </x:c>
      <x:c r="H50" s="376" t="n">
        <x:f>SUM(H46:H49)</x:f>
        <x:v>670000</x:v>
      </x:c>
      <x:c r="I50" s="376" t="n">
        <x:f>SUM(I46:I49)</x:f>
        <x:v>871000</x:v>
      </x:c>
      <x:c r="J50" s="373"/>
      <x:c r="K50" s="373"/>
      <x:c r="L50" s="373"/>
      <x:c r="M50" s="373"/>
      <x:c r="N50" s="339"/>
      <x:c r="O50" s="339"/>
      <x:c r="P50" s="339"/>
      <x:c r="Q50" s="339"/>
      <x:c r="R50" s="339"/>
      <x:c r="S50" s="339"/>
      <x:c r="T50" s="339"/>
      <x:c r="U50" s="339"/>
      <x:c r="V50" s="339"/>
      <x:c r="W50" s="339"/>
      <x:c r="X50" s="339"/>
      <x:c r="Y50" s="339"/>
      <x:c r="Z50" s="339"/>
    </x:row>
    <x:row r="51">
      <x:c r="A51" s="28"/>
      <x:c r="B51" s="28"/>
      <x:c r="C51" s="28"/>
      <x:c r="D51" s="40"/>
      <x:c r="E51" s="40"/>
      <x:c r="F51" s="48"/>
      <x:c r="G51" s="372"/>
      <x:c r="H51" s="372"/>
      <x:c r="I51" s="372"/>
      <x:c r="J51" s="28"/>
      <x:c r="K51" s="28"/>
      <x:c r="L51" s="28"/>
      <x:c r="M51" s="28"/>
      <x:c r="N51" s="339"/>
      <x:c r="O51" s="339"/>
      <x:c r="P51" s="339"/>
      <x:c r="Q51" s="339"/>
      <x:c r="R51" s="339"/>
      <x:c r="S51" s="339"/>
      <x:c r="T51" s="339"/>
      <x:c r="U51" s="339"/>
      <x:c r="V51" s="339"/>
      <x:c r="W51" s="339"/>
      <x:c r="X51" s="339"/>
      <x:c r="Y51" s="339"/>
      <x:c r="Z51" s="339"/>
    </x:row>
    <x:row r="52">
      <x:c r="A52" s="379" t="str">
        <x:v>Subtotal before contingency</x:v>
      </x:c>
      <x:c r="B52" s="379"/>
      <x:c r="C52" s="379"/>
      <x:c r="D52" s="380"/>
      <x:c r="E52" s="380"/>
      <x:c r="F52" s="381"/>
      <x:c r="G52" s="382" t="n">
        <x:f>G11+G20+G28+G37+G43+G50</x:f>
        <x:v>3781600</x:v>
      </x:c>
      <x:c r="H52" s="382" t="n">
        <x:f>H11+H20+H28+H37+H43+H50</x:f>
        <x:v>4727000</x:v>
      </x:c>
      <x:c r="I52" s="382" t="n">
        <x:f>I11+I20+I28+I37+I43+I50</x:f>
        <x:v>6145100</x:v>
      </x:c>
      <x:c r="J52" s="379"/>
      <x:c r="K52" s="379"/>
      <x:c r="L52" s="379"/>
      <x:c r="M52" s="379"/>
      <x:c r="N52" s="339"/>
      <x:c r="O52" s="339"/>
      <x:c r="P52" s="339"/>
      <x:c r="Q52" s="339"/>
      <x:c r="R52" s="339"/>
      <x:c r="S52" s="339"/>
      <x:c r="T52" s="339"/>
      <x:c r="U52" s="339"/>
      <x:c r="V52" s="339"/>
      <x:c r="W52" s="339"/>
      <x:c r="X52" s="339"/>
      <x:c r="Y52" s="339"/>
      <x:c r="Z52" s="339"/>
    </x:row>
    <x:row r="53">
      <x:c r="A53" s="373" t="str">
        <x:v>Contingency / quantified risk allowance</x:v>
      </x:c>
      <x:c r="B53" s="373"/>
      <x:c r="C53" s="373"/>
      <x:c r="D53" s="374"/>
      <x:c r="E53" s="374"/>
      <x:c r="F53" s="375"/>
      <x:c r="G53" s="376" t="n">
        <x:f>G52*Assumptions!$D$10</x:f>
        <x:v>378160</x:v>
      </x:c>
      <x:c r="H53" s="376" t="n">
        <x:f>H52*Assumptions!$E$10</x:f>
        <x:v>590875</x:v>
      </x:c>
      <x:c r="I53" s="376" t="n">
        <x:f>I52*Assumptions!$F$10</x:f>
        <x:v>1229020</x:v>
      </x:c>
      <x:c r="J53" s="373"/>
      <x:c r="K53" s="373"/>
      <x:c r="L53" s="373"/>
      <x:c r="M53" s="373"/>
      <x:c r="N53" s="339"/>
      <x:c r="O53" s="339"/>
      <x:c r="P53" s="339"/>
      <x:c r="Q53" s="339"/>
      <x:c r="R53" s="339"/>
      <x:c r="S53" s="339"/>
      <x:c r="T53" s="339"/>
      <x:c r="U53" s="339"/>
      <x:c r="V53" s="339"/>
      <x:c r="W53" s="339"/>
      <x:c r="X53" s="339"/>
      <x:c r="Y53" s="339"/>
      <x:c r="Z53" s="339"/>
    </x:row>
    <x:row r="54">
      <x:c r="A54" s="383" t="str">
        <x:v>STAGE 0 — TOTAL YEAR 0 FUNDING RANGE</x:v>
      </x:c>
      <x:c r="B54" s="383"/>
      <x:c r="C54" s="383"/>
      <x:c r="D54" s="384"/>
      <x:c r="E54" s="384"/>
      <x:c r="F54" s="385"/>
      <x:c r="G54" s="386" t="n">
        <x:f>G52+G53</x:f>
        <x:v>4159760</x:v>
      </x:c>
      <x:c r="H54" s="386" t="n">
        <x:f>H52+H53</x:f>
        <x:v>5317875</x:v>
      </x:c>
      <x:c r="I54" s="386" t="n">
        <x:f>I52+I53</x:f>
        <x:v>7374120</x:v>
      </x:c>
      <x:c r="J54" s="383"/>
      <x:c r="K54" s="383"/>
      <x:c r="L54" s="383"/>
      <x:c r="M54" s="383"/>
      <x:c r="N54" s="339"/>
      <x:c r="O54" s="339"/>
      <x:c r="P54" s="339"/>
      <x:c r="Q54" s="339"/>
      <x:c r="R54" s="339"/>
      <x:c r="S54" s="339"/>
      <x:c r="T54" s="339"/>
      <x:c r="U54" s="339"/>
      <x:c r="V54" s="339"/>
      <x:c r="W54" s="339"/>
      <x:c r="X54" s="339"/>
      <x:c r="Y54" s="339"/>
      <x:c r="Z54" s="339"/>
    </x:row>
    <x:row r="55">
      <x:c r="A55" s="28"/>
      <x:c r="B55" s="28"/>
      <x:c r="C55" s="28"/>
      <x:c r="D55" s="28"/>
      <x:c r="E55" s="28"/>
      <x:c r="F55" s="28"/>
      <x:c r="G55" s="28"/>
      <x:c r="H55" s="28"/>
      <x:c r="I55" s="28"/>
      <x:c r="J55" s="28"/>
      <x:c r="K55" s="28"/>
      <x:c r="L55" s="28"/>
      <x:c r="M55" s="28"/>
      <x:c r="N55" s="339"/>
      <x:c r="O55" s="339"/>
      <x:c r="P55" s="339"/>
      <x:c r="Q55" s="339"/>
      <x:c r="R55" s="339"/>
      <x:c r="S55" s="339"/>
      <x:c r="T55" s="339"/>
      <x:c r="U55" s="339"/>
      <x:c r="V55" s="339"/>
      <x:c r="W55" s="339"/>
      <x:c r="X55" s="339"/>
      <x:c r="Y55" s="339"/>
      <x:c r="Z55" s="339"/>
    </x:row>
    <x:row r="56">
      <x:c r="A56" s="28"/>
      <x:c r="B56" s="28"/>
      <x:c r="C56" s="28"/>
      <x:c r="D56" s="28"/>
      <x:c r="E56" s="28"/>
      <x:c r="F56" s="28"/>
      <x:c r="G56" s="28"/>
      <x:c r="H56" s="28"/>
      <x:c r="I56" s="28"/>
      <x:c r="J56" s="28"/>
      <x:c r="K56" s="28"/>
      <x:c r="L56" s="28"/>
      <x:c r="M56" s="28"/>
      <x:c r="N56" s="339"/>
      <x:c r="O56" s="339"/>
      <x:c r="P56" s="339"/>
      <x:c r="Q56" s="339"/>
      <x:c r="R56" s="339"/>
      <x:c r="S56" s="339"/>
      <x:c r="T56" s="339"/>
      <x:c r="U56" s="339"/>
      <x:c r="V56" s="339"/>
      <x:c r="W56" s="339"/>
      <x:c r="X56" s="339"/>
      <x:c r="Y56" s="339"/>
      <x:c r="Z56" s="339"/>
    </x:row>
    <x:row r="57" ht="22" customHeight="1">
      <x:c r="A57" s="633" t="str">
        <x:v>Year 0 Learning Capital design deliverables — embedded in the allowances above</x:v>
      </x:c>
      <x:c r="B57" s="633" t="str">
        <x:v>Year 0 Learning Capital design deliverables — embedded in the allowances above</x:v>
      </x:c>
      <x:c r="C57" s="633" t="str">
        <x:v>Year 0 Learning Capital design deliverables — embedded in the allowances above</x:v>
      </x:c>
      <x:c r="D57" s="633" t="str">
        <x:v>Year 0 Learning Capital design deliverables — embedded in the allowances above</x:v>
      </x:c>
      <x:c r="E57" s="633" t="str">
        <x:v>Year 0 Learning Capital design deliverables — embedded in the allowances above</x:v>
      </x:c>
      <x:c r="F57" s="633" t="str">
        <x:v>Year 0 Learning Capital design deliverables — embedded in the allowances above</x:v>
      </x:c>
      <x:c r="G57" s="633" t="str">
        <x:v>Year 0 Learning Capital design deliverables — embedded in the allowances above</x:v>
      </x:c>
      <x:c r="H57" s="633" t="str">
        <x:v>Year 0 Learning Capital design deliverables — embedded in the allowances above</x:v>
      </x:c>
      <x:c r="I57" s="633" t="str">
        <x:v>Year 0 Learning Capital design deliverables — embedded in the allowances above</x:v>
      </x:c>
      <x:c r="J57" s="633" t="str">
        <x:v>Year 0 Learning Capital design deliverables — embedded in the allowances above</x:v>
      </x:c>
      <x:c r="K57" s="633" t="str">
        <x:v>Year 0 Learning Capital design deliverables — embedded in the allowances above</x:v>
      </x:c>
      <x:c r="L57" s="633" t="str">
        <x:v>Year 0 Learning Capital design deliverables — embedded in the allowances above</x:v>
      </x:c>
      <x:c r="M57" s="633" t="str">
        <x:v>Year 0 Learning Capital design deliverables — embedded in the allowances above</x:v>
      </x:c>
      <x:c r="N57" s="339"/>
      <x:c r="O57" s="339"/>
      <x:c r="P57" s="339"/>
      <x:c r="Q57" s="339"/>
      <x:c r="R57" s="339"/>
      <x:c r="S57" s="339"/>
      <x:c r="T57" s="339"/>
      <x:c r="U57" s="339"/>
      <x:c r="V57" s="339"/>
      <x:c r="W57" s="339"/>
      <x:c r="X57" s="339"/>
      <x:c r="Y57" s="339"/>
      <x:c r="Z57" s="339"/>
    </x:row>
    <x:row r="58" ht="30" customHeight="1">
      <x:c r="A58" s="498" t="str">
        <x:v>Deliverable</x:v>
      </x:c>
      <x:c r="B58" s="407" t="str">
        <x:v>Legal and accounting structure</x:v>
      </x:c>
      <x:c r="C58" s="28" t="str">
        <x:v>Ownership, beneficial interest, Crown control, vesting, restrictions and treatment under public-sector accounting</x:v>
      </x:c>
      <x:c r="D58" s="28" t="str"/>
      <x:c r="E58" s="28" t="str"/>
      <x:c r="F58" s="28" t="str"/>
      <x:c r="G58" s="28" t="str"/>
      <x:c r="H58" s="28" t="str"/>
      <x:c r="I58" s="28" t="str"/>
      <x:c r="J58" s="28" t="str"/>
      <x:c r="K58" s="28" t="str"/>
      <x:c r="L58" s="28" t="str"/>
      <x:c r="M58" s="28" t="str"/>
      <x:c r="N58" s="339"/>
      <x:c r="O58" s="339"/>
      <x:c r="P58" s="339"/>
      <x:c r="Q58" s="339"/>
      <x:c r="R58" s="339"/>
      <x:c r="S58" s="339"/>
      <x:c r="T58" s="339"/>
      <x:c r="U58" s="339"/>
      <x:c r="V58" s="339"/>
      <x:c r="W58" s="339"/>
      <x:c r="X58" s="339"/>
      <x:c r="Y58" s="339"/>
      <x:c r="Z58" s="339"/>
    </x:row>
    <x:row r="59" ht="30" customHeight="1">
      <x:c r="A59" s="498" t="str">
        <x:v>Deliverable</x:v>
      </x:c>
      <x:c r="B59" s="407" t="str">
        <x:v>Investment and custody mandate</x:v>
      </x:c>
      <x:c r="C59" s="28" t="str">
        <x:v>Regulated low-fee provider requirements, competitive procurement, custody, market-risk disclosure and lifecycle de-risking</x:v>
      </x:c>
      <x:c r="D59" s="28" t="str"/>
      <x:c r="E59" s="28" t="str"/>
      <x:c r="F59" s="28" t="str"/>
      <x:c r="G59" s="28" t="str"/>
      <x:c r="H59" s="28" t="str"/>
      <x:c r="I59" s="28" t="str"/>
      <x:c r="J59" s="28" t="str"/>
      <x:c r="K59" s="28" t="str"/>
      <x:c r="L59" s="28" t="str"/>
      <x:c r="M59" s="28" t="str"/>
      <x:c r="N59" s="339"/>
      <x:c r="O59" s="339"/>
      <x:c r="P59" s="339"/>
      <x:c r="Q59" s="339"/>
      <x:c r="R59" s="339"/>
      <x:c r="S59" s="339"/>
      <x:c r="T59" s="339"/>
      <x:c r="U59" s="339"/>
      <x:c r="V59" s="339"/>
      <x:c r="W59" s="339"/>
      <x:c r="X59" s="339"/>
      <x:c r="Y59" s="339"/>
      <x:c r="Z59" s="339"/>
    </x:row>
    <x:row r="60" ht="30" customHeight="1">
      <x:c r="A60" s="498" t="str">
        <x:v>Deliverable</x:v>
      </x:c>
      <x:c r="B60" s="407" t="str">
        <x:v>Tax and benefit treatment</x:v>
      </x:c>
      <x:c r="C60" s="28" t="str">
        <x:v>PIE/PIR or alternative tax treatment, family-income interactions, benefits, financial assistance and reporting</x:v>
      </x:c>
      <x:c r="D60" s="28" t="str"/>
      <x:c r="E60" s="28" t="str"/>
      <x:c r="F60" s="28" t="str"/>
      <x:c r="G60" s="28" t="str"/>
      <x:c r="H60" s="28" t="str"/>
      <x:c r="I60" s="28" t="str"/>
      <x:c r="J60" s="28" t="str"/>
      <x:c r="K60" s="28" t="str"/>
      <x:c r="L60" s="28" t="str"/>
      <x:c r="M60" s="28" t="str"/>
      <x:c r="N60" s="339"/>
      <x:c r="O60" s="339"/>
      <x:c r="P60" s="339"/>
      <x:c r="Q60" s="339"/>
      <x:c r="R60" s="339"/>
      <x:c r="S60" s="339"/>
      <x:c r="T60" s="339"/>
      <x:c r="U60" s="339"/>
      <x:c r="V60" s="339"/>
      <x:c r="W60" s="339"/>
      <x:c r="X60" s="339"/>
      <x:c r="Y60" s="339"/>
      <x:c r="Z60" s="339"/>
    </x:row>
    <x:row r="61" ht="30" customHeight="1">
      <x:c r="A61" s="498" t="str">
        <x:v>Deliverable</x:v>
      </x:c>
      <x:c r="B61" s="407" t="str">
        <x:v>Student-loan actuarial model</x:v>
      </x:c>
      <x:c r="C61" s="28" t="str">
        <x:v>Fair-value cost, repayment timing, inflation bridge, discounting, credit risk, overseas borrowers and double-counting controls</x:v>
      </x:c>
      <x:c r="D61" s="28" t="str"/>
      <x:c r="E61" s="28" t="str"/>
      <x:c r="F61" s="28" t="str"/>
      <x:c r="G61" s="28" t="str"/>
      <x:c r="H61" s="28" t="str"/>
      <x:c r="I61" s="28" t="str"/>
      <x:c r="J61" s="28" t="str"/>
      <x:c r="K61" s="28" t="str"/>
      <x:c r="L61" s="28" t="str"/>
      <x:c r="M61" s="28" t="str"/>
      <x:c r="N61" s="339"/>
      <x:c r="O61" s="339"/>
      <x:c r="P61" s="339"/>
      <x:c r="Q61" s="339"/>
      <x:c r="R61" s="339"/>
      <x:c r="S61" s="339"/>
      <x:c r="T61" s="339"/>
      <x:c r="U61" s="339"/>
      <x:c r="V61" s="339"/>
      <x:c r="W61" s="339"/>
      <x:c r="X61" s="339"/>
      <x:c r="Y61" s="339"/>
      <x:c r="Z61" s="339"/>
    </x:row>
    <x:row r="62" ht="30" customHeight="1">
      <x:c r="A62" s="498" t="str">
        <x:v>Deliverable</x:v>
      </x:c>
      <x:c r="B62" s="407" t="str">
        <x:v>Withdrawal and apprenticeship rules</x:v>
      </x:c>
      <x:c r="C62" s="28" t="str">
        <x:v>Approved tertiary uses, verified apprenticeship stages, completion tranche, unused-balance age limit and appeals</x:v>
      </x:c>
      <x:c r="D62" s="28" t="str"/>
      <x:c r="E62" s="28" t="str"/>
      <x:c r="F62" s="28" t="str"/>
      <x:c r="G62" s="28" t="str"/>
      <x:c r="H62" s="28" t="str"/>
      <x:c r="I62" s="28" t="str"/>
      <x:c r="J62" s="28" t="str"/>
      <x:c r="K62" s="28" t="str"/>
      <x:c r="L62" s="28" t="str"/>
      <x:c r="M62" s="28" t="str"/>
      <x:c r="N62" s="339"/>
      <x:c r="O62" s="339"/>
      <x:c r="P62" s="339"/>
      <x:c r="Q62" s="339"/>
      <x:c r="R62" s="339"/>
      <x:c r="S62" s="339"/>
      <x:c r="T62" s="339"/>
      <x:c r="U62" s="339"/>
      <x:c r="V62" s="339"/>
      <x:c r="W62" s="339"/>
      <x:c r="X62" s="339"/>
      <x:c r="Y62" s="339"/>
      <x:c r="Z62" s="339"/>
    </x:row>
    <x:row r="63" ht="30" customHeight="1">
      <x:c r="A63" s="498" t="str">
        <x:v>Deliverable</x:v>
      </x:c>
      <x:c r="B63" s="407" t="str">
        <x:v>Financial-literacy and consent interface</x:v>
      </x:c>
      <x:c r="C63" s="28" t="str">
        <x:v>Plain-language account statements, risks, fees, tax, withdrawal rules, participant consent and whānau information</x:v>
      </x:c>
      <x:c r="D63" s="28" t="str"/>
      <x:c r="E63" s="28" t="str"/>
      <x:c r="F63" s="28" t="str"/>
      <x:c r="G63" s="28" t="str"/>
      <x:c r="H63" s="28" t="str"/>
      <x:c r="I63" s="28" t="str"/>
      <x:c r="J63" s="28" t="str"/>
      <x:c r="K63" s="28" t="str"/>
      <x:c r="L63" s="28" t="str"/>
      <x:c r="M63" s="28" t="str"/>
      <x:c r="N63" s="339"/>
      <x:c r="O63" s="339"/>
      <x:c r="P63" s="339"/>
      <x:c r="Q63" s="339"/>
      <x:c r="R63" s="339"/>
      <x:c r="S63" s="339"/>
      <x:c r="T63" s="339"/>
      <x:c r="U63" s="339"/>
      <x:c r="V63" s="339"/>
      <x:c r="W63" s="339"/>
      <x:c r="X63" s="339"/>
      <x:c r="Y63" s="339"/>
      <x:c r="Z63" s="339"/>
    </x:row>
    <x:row r="64" ht="23" customHeight="1">
      <x:c r="A64" s="905" t="str">
        <x:v>Year 0 human-capital, labour-market and economic-validation deliverables — embedded in existing allowances</x:v>
      </x:c>
      <x:c r="B64" s="905"/>
      <x:c r="C64" s="905"/>
      <x:c r="D64" s="905"/>
      <x:c r="E64" s="905"/>
      <x:c r="F64" s="905"/>
      <x:c r="G64" s="905"/>
      <x:c r="H64" s="905"/>
      <x:c r="I64" s="905"/>
      <x:c r="J64" s="905"/>
      <x:c r="K64" s="905"/>
      <x:c r="L64" s="905"/>
      <x:c r="M64" s="905"/>
      <x:c r="N64" s="339"/>
      <x:c r="O64" s="339"/>
      <x:c r="P64" s="339"/>
      <x:c r="Q64" s="339"/>
      <x:c r="R64" s="339"/>
      <x:c r="S64" s="339"/>
      <x:c r="T64" s="339"/>
      <x:c r="U64" s="339"/>
      <x:c r="V64" s="339"/>
      <x:c r="W64" s="339"/>
      <x:c r="X64" s="339"/>
      <x:c r="Y64" s="339"/>
      <x:c r="Z64" s="339"/>
    </x:row>
    <x:row r="65" ht="32" customHeight="1">
      <x:c r="A65" s="890" t="str">
        <x:v>Deliverable</x:v>
      </x:c>
      <x:c r="B65" s="407" t="str">
        <x:v>Outcome ladder and evaluation pre-registration</x:v>
      </x:c>
      <x:c r="C65" s="28" t="str">
        <x:v>Attendance, attainment, transition, completion, employment, earnings, tax, benefits, loans and harms with explicit counterfactuals</x:v>
      </x:c>
      <x:c r="D65" s="28"/>
      <x:c r="E65" s="28"/>
      <x:c r="F65" s="28"/>
      <x:c r="G65" s="28"/>
      <x:c r="H65" s="28"/>
      <x:c r="I65" s="28"/>
      <x:c r="J65" s="28"/>
      <x:c r="K65" s="28"/>
      <x:c r="L65" s="28"/>
      <x:c r="M65" s="28"/>
      <x:c r="N65" s="339"/>
      <x:c r="O65" s="339"/>
      <x:c r="P65" s="339"/>
      <x:c r="Q65" s="339"/>
      <x:c r="R65" s="339"/>
      <x:c r="S65" s="339"/>
      <x:c r="T65" s="339"/>
      <x:c r="U65" s="339"/>
      <x:c r="V65" s="339"/>
      <x:c r="W65" s="339"/>
      <x:c r="X65" s="339"/>
      <x:c r="Y65" s="339"/>
      <x:c r="Z65" s="339"/>
    </x:row>
    <x:row r="66" ht="32" customHeight="1">
      <x:c r="A66" s="890" t="str">
        <x:v>Deliverable</x:v>
      </x:c>
      <x:c r="B66" s="407" t="str">
        <x:v>Whole-cohort earnings and tax model validation</x:v>
      </x:c>
      <x:c r="C66" s="28" t="str">
        <x:v>Age-earnings profile, employment, hours, migration, attribution, persistence, tax and ACC calculations independently reviewed</x:v>
      </x:c>
      <x:c r="D66" s="28"/>
      <x:c r="E66" s="28"/>
      <x:c r="F66" s="28"/>
      <x:c r="G66" s="28"/>
      <x:c r="H66" s="28"/>
      <x:c r="I66" s="28"/>
      <x:c r="J66" s="28"/>
      <x:c r="K66" s="28"/>
      <x:c r="L66" s="28"/>
      <x:c r="M66" s="28"/>
      <x:c r="N66" s="339"/>
      <x:c r="O66" s="339"/>
      <x:c r="P66" s="339"/>
      <x:c r="Q66" s="339"/>
      <x:c r="R66" s="339"/>
      <x:c r="S66" s="339"/>
      <x:c r="T66" s="339"/>
      <x:c r="U66" s="339"/>
      <x:c r="V66" s="339"/>
      <x:c r="W66" s="339"/>
      <x:c r="X66" s="339"/>
      <x:c r="Y66" s="339"/>
      <x:c r="Z66" s="339"/>
    </x:row>
    <x:row r="67" ht="32" customHeight="1">
      <x:c r="A67" s="890" t="str">
        <x:v>Deliverable</x:v>
      </x:c>
      <x:c r="B67" s="407" t="str">
        <x:v>Universal core and targeted accelerator service design</x:v>
      </x:c>
      <x:c r="C67" s="28" t="str">
        <x:v>Separate eligibility, intensity, unit cost, payment and support architecture</x:v>
      </x:c>
      <x:c r="D67" s="28"/>
      <x:c r="E67" s="28"/>
      <x:c r="F67" s="28"/>
      <x:c r="G67" s="28"/>
      <x:c r="H67" s="28"/>
      <x:c r="I67" s="28"/>
      <x:c r="J67" s="28"/>
      <x:c r="K67" s="28"/>
      <x:c r="L67" s="28"/>
      <x:c r="M67" s="28"/>
      <x:c r="N67" s="339"/>
      <x:c r="O67" s="339"/>
      <x:c r="P67" s="339"/>
      <x:c r="Q67" s="339"/>
      <x:c r="R67" s="339"/>
      <x:c r="S67" s="339"/>
      <x:c r="T67" s="339"/>
      <x:c r="U67" s="339"/>
      <x:c r="V67" s="339"/>
      <x:c r="W67" s="339"/>
      <x:c r="X67" s="339"/>
      <x:c r="Y67" s="339"/>
      <x:c r="Z67" s="339"/>
    </x:row>
    <x:row r="68" ht="32" customHeight="1">
      <x:c r="A68" s="890" t="str">
        <x:v>Deliverable</x:v>
      </x:c>
      <x:c r="B68" s="407" t="str">
        <x:v>Labour-market forecasting and general-equilibrium review</x:v>
      </x:c>
      <x:c r="C68" s="28" t="str">
        <x:v>Occupation demand, wages, vacancies, automation, regional mismatch, migration, provider capacity and worker displacement</x:v>
      </x:c>
      <x:c r="D68" s="28"/>
      <x:c r="E68" s="28"/>
      <x:c r="F68" s="28"/>
      <x:c r="G68" s="28"/>
      <x:c r="H68" s="28"/>
      <x:c r="I68" s="28"/>
      <x:c r="J68" s="28"/>
      <x:c r="K68" s="28"/>
      <x:c r="L68" s="28"/>
      <x:c r="M68" s="28"/>
      <x:c r="N68" s="339"/>
      <x:c r="O68" s="339"/>
      <x:c r="P68" s="339"/>
      <x:c r="Q68" s="339"/>
      <x:c r="R68" s="339"/>
      <x:c r="S68" s="339"/>
      <x:c r="T68" s="339"/>
      <x:c r="U68" s="339"/>
      <x:c r="V68" s="339"/>
      <x:c r="W68" s="339"/>
      <x:c r="X68" s="339"/>
      <x:c r="Y68" s="339"/>
      <x:c r="Z68" s="339"/>
    </x:row>
    <x:row r="69" ht="32" customHeight="1">
      <x:c r="A69" s="890" t="str">
        <x:v>Deliverable</x:v>
      </x:c>
      <x:c r="B69" s="407" t="str">
        <x:v>Industry co-investment governance</x:v>
      </x:c>
      <x:c r="C69" s="28" t="str">
        <x:v>Pooled funding, student choice, transferable credentials, worker representation and safeguards against occupation oversupply</x:v>
      </x:c>
      <x:c r="D69" s="28"/>
      <x:c r="E69" s="28"/>
      <x:c r="F69" s="28"/>
      <x:c r="G69" s="28"/>
      <x:c r="H69" s="28"/>
      <x:c r="I69" s="28"/>
      <x:c r="J69" s="28"/>
      <x:c r="K69" s="28"/>
      <x:c r="L69" s="28"/>
      <x:c r="M69" s="28"/>
      <x:c r="N69" s="339"/>
      <x:c r="O69" s="339"/>
      <x:c r="P69" s="339"/>
      <x:c r="Q69" s="339"/>
      <x:c r="R69" s="339"/>
      <x:c r="S69" s="339"/>
      <x:c r="T69" s="339"/>
      <x:c r="U69" s="339"/>
      <x:c r="V69" s="339"/>
      <x:c r="W69" s="339"/>
      <x:c r="X69" s="339"/>
      <x:c r="Y69" s="339"/>
      <x:c r="Z69" s="339"/>
    </x:row>
    <x:row r="70" ht="32" customHeight="1">
      <x:c r="A70" s="890" t="str">
        <x:v>Deliverable</x:v>
      </x:c>
      <x:c r="B70" s="407" t="str">
        <x:v>Economic stop / go thresholds</x:v>
      </x:c>
      <x:c r="C70" s="28" t="str">
        <x:v>Pre-agreed cost-per-outcome, BCR, fiscal, equity, workload, gaming and harm thresholds</x:v>
      </x:c>
      <x:c r="D70" s="28"/>
      <x:c r="E70" s="28"/>
      <x:c r="F70" s="28"/>
      <x:c r="G70" s="28"/>
      <x:c r="H70" s="28"/>
      <x:c r="I70" s="28"/>
      <x:c r="J70" s="28"/>
      <x:c r="K70" s="28"/>
      <x:c r="L70" s="28"/>
      <x:c r="M70" s="28"/>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M1"/>
    <x:mergeCell ref="A2:M2"/>
    <x:mergeCell ref="A5:M5"/>
    <x:mergeCell ref="A11:F11"/>
    <x:mergeCell ref="J11:M11"/>
    <x:mergeCell ref="A13:M13"/>
    <x:mergeCell ref="A20:F20"/>
    <x:mergeCell ref="J20:M20"/>
    <x:mergeCell ref="A22:M22"/>
    <x:mergeCell ref="A28:F28"/>
    <x:mergeCell ref="J28:M28"/>
    <x:mergeCell ref="A30:M30"/>
    <x:mergeCell ref="A37:F37"/>
    <x:mergeCell ref="J37:M37"/>
    <x:mergeCell ref="A39:M39"/>
    <x:mergeCell ref="A43:F43"/>
    <x:mergeCell ref="J43:M43"/>
    <x:mergeCell ref="A45:M45"/>
    <x:mergeCell ref="A50:F50"/>
    <x:mergeCell ref="J50:M50"/>
    <x:mergeCell ref="A52:F52"/>
    <x:mergeCell ref="J52:M52"/>
    <x:mergeCell ref="A53:F53"/>
    <x:mergeCell ref="J53:M53"/>
    <x:mergeCell ref="A54:F54"/>
    <x:mergeCell ref="J54:M54"/>
    <x:mergeCell ref="A57:M57"/>
    <x:mergeCell ref="A64:M64"/>
  </x:mergeCells>
  <x:pageMargins left="0.7" right="0.7" top="0.75" bottom="0.75" header="0.3" footer="0.3"/>
</x:worksheet>
</file>

<file path=xl/worksheets/sheet10.xml><?xml version="1.0" encoding="utf-8"?>
<x:worksheet xmlns:x="http://schemas.openxmlformats.org/spreadsheetml/2006/main">
  <x:sheetFormatPr defaultRowHeight="15"/>
  <x:cols>
    <x:col min="1" max="1" width="23" hidden="0" customWidth="1"/>
    <x:col min="2" max="2" width="35" hidden="0" customWidth="1"/>
    <x:col min="3" max="3" width="44" hidden="0" customWidth="1"/>
    <x:col min="4" max="4" width="12" hidden="0" customWidth="1"/>
    <x:col min="5" max="5" width="12" hidden="0" customWidth="1"/>
    <x:col min="6" max="6" width="12" hidden="0" customWidth="1"/>
    <x:col min="7" max="7" width="16" hidden="0" customWidth="1"/>
    <x:col min="8" max="8" width="12" hidden="0" customWidth="1"/>
    <x:col min="9" max="9" width="16" hidden="0" customWidth="1"/>
    <x:col min="10" max="10" width="16" hidden="0" customWidth="1"/>
    <x:col min="11" max="11" width="16" hidden="0" customWidth="1"/>
    <x:col min="12" max="12" width="17" hidden="0" customWidth="1"/>
    <x:col min="13" max="13" width="14" hidden="0" customWidth="1"/>
    <x:col min="14" max="14" width="44" hidden="0" customWidth="1"/>
  </x:cols>
  <x:sheetData>
    <x:row r="1" ht="30" customHeight="1">
      <x:c r="A1" s="685" t="str">
        <x:v>Stage 1 — Three-Year Pilot Cost Model</x:v>
      </x:c>
      <x:c r="B1" s="685" t="str">
        <x:v>Stage 1 — Three-Year Pilot Cost Model</x:v>
      </x:c>
      <x:c r="C1" s="685" t="str">
        <x:v>Stage 1 — Three-Year Pilot Cost Model</x:v>
      </x:c>
      <x:c r="D1" s="685" t="str">
        <x:v>Stage 1 — Three-Year Pilot Cost Model</x:v>
      </x:c>
      <x:c r="E1" s="685" t="str">
        <x:v>Stage 1 — Three-Year Pilot Cost Model</x:v>
      </x:c>
      <x:c r="F1" s="685" t="str">
        <x:v>Stage 1 — Three-Year Pilot Cost Model</x:v>
      </x:c>
      <x:c r="G1" s="685" t="str">
        <x:v>Stage 1 — Three-Year Pilot Cost Model</x:v>
      </x:c>
      <x:c r="H1" s="685" t="str">
        <x:v>Stage 1 — Three-Year Pilot Cost Model</x:v>
      </x:c>
      <x:c r="I1" s="685" t="str">
        <x:v>Stage 1 — Three-Year Pilot Cost Model</x:v>
      </x:c>
      <x:c r="J1" s="685" t="str">
        <x:v>Stage 1 — Three-Year Pilot Cost Model</x:v>
      </x:c>
      <x:c r="K1" s="685" t="str">
        <x:v>Stage 1 — Three-Year Pilot Cost Model</x:v>
      </x:c>
      <x:c r="L1" s="685" t="str">
        <x:v>Stage 1 — Three-Year Pilot Cost Model</x:v>
      </x:c>
      <x:c r="M1" s="685" t="str">
        <x:v>Stage 1 — Three-Year Pilot Cost Model</x:v>
      </x:c>
      <x:c r="N1" s="685" t="str">
        <x:v>Stage 1 — Three-Year Pilot Cost Model</x:v>
      </x:c>
      <x:c r="O1" s="339"/>
      <x:c r="P1" s="339"/>
      <x:c r="Q1" s="339"/>
      <x:c r="R1" s="339"/>
      <x:c r="S1" s="339"/>
      <x:c r="T1" s="339"/>
      <x:c r="U1" s="339"/>
      <x:c r="V1" s="339"/>
      <x:c r="W1" s="339"/>
      <x:c r="X1" s="339"/>
      <x:c r="Y1" s="339"/>
      <x:c r="Z1" s="339"/>
    </x:row>
    <x:row r="2" ht="28" customHeight="1">
      <x:c r="A2" s="340" t="str">
        <x:v>Central case: 4,200 treatment students plus 4,200 comparison students. Direct stipend costs are separated from delivery, technology and evaluation.</x:v>
      </x:c>
      <x:c r="B2" s="340" t="str">
        <x:v>Central case: 4,200 treatment students plus 4,200 comparison students. Direct stipend costs are separated from delivery, technology and evaluation.</x:v>
      </x:c>
      <x:c r="C2" s="340" t="str">
        <x:v>Central case: 4,200 treatment students plus 4,200 comparison students. Direct stipend costs are separated from delivery, technology and evaluation.</x:v>
      </x:c>
      <x:c r="D2" s="340" t="str">
        <x:v>Central case: 4,200 treatment students plus 4,200 comparison students. Direct stipend costs are separated from delivery, technology and evaluation.</x:v>
      </x:c>
      <x:c r="E2" s="340" t="str">
        <x:v>Central case: 4,200 treatment students plus 4,200 comparison students. Direct stipend costs are separated from delivery, technology and evaluation.</x:v>
      </x:c>
      <x:c r="F2" s="340" t="str">
        <x:v>Central case: 4,200 treatment students plus 4,200 comparison students. Direct stipend costs are separated from delivery, technology and evaluation.</x:v>
      </x:c>
      <x:c r="G2" s="340" t="str">
        <x:v>Central case: 4,200 treatment students plus 4,200 comparison students. Direct stipend costs are separated from delivery, technology and evaluation.</x:v>
      </x:c>
      <x:c r="H2" s="340" t="str">
        <x:v>Central case: 4,200 treatment students plus 4,200 comparison students. Direct stipend costs are separated from delivery, technology and evaluation.</x:v>
      </x:c>
      <x:c r="I2" s="340" t="str">
        <x:v>Central case: 4,200 treatment students plus 4,200 comparison students. Direct stipend costs are separated from delivery, technology and evaluation.</x:v>
      </x:c>
      <x:c r="J2" s="340" t="str">
        <x:v>Central case: 4,200 treatment students plus 4,200 comparison students. Direct stipend costs are separated from delivery, technology and evaluation.</x:v>
      </x:c>
      <x:c r="K2" s="340" t="str">
        <x:v>Central case: 4,200 treatment students plus 4,200 comparison students. Direct stipend costs are separated from delivery, technology and evaluation.</x:v>
      </x:c>
      <x:c r="L2" s="340" t="str">
        <x:v>Central case: 4,200 treatment students plus 4,200 comparison students. Direct stipend costs are separated from delivery, technology and evaluation.</x:v>
      </x:c>
      <x:c r="M2" s="340" t="str">
        <x:v>Central case: 4,200 treatment students plus 4,200 comparison students. Direct stipend costs are separated from delivery, technology and evaluation.</x:v>
      </x:c>
      <x:c r="N2" s="340" t="str">
        <x:v>Central case: 4,200 treatment students plus 4,200 comparison students. Direct stipend costs are separated from delivery, technology and evaluation.</x:v>
      </x:c>
      <x:c r="O2" s="339"/>
      <x:c r="P2" s="339"/>
      <x:c r="Q2" s="339"/>
      <x:c r="R2" s="339"/>
      <x:c r="S2" s="339"/>
      <x:c r="T2" s="339"/>
      <x:c r="U2" s="339"/>
      <x:c r="V2" s="339"/>
      <x:c r="W2" s="339"/>
      <x:c r="X2" s="339"/>
      <x:c r="Y2" s="339"/>
      <x:c r="Z2" s="339"/>
    </x:row>
    <x:row r="3">
      <x:c r="A3" s="28"/>
      <x:c r="B3" s="28"/>
      <x:c r="C3" s="28"/>
      <x:c r="D3" s="28"/>
      <x:c r="E3" s="28"/>
      <x:c r="F3" s="28"/>
      <x:c r="G3" s="28"/>
      <x:c r="H3" s="28"/>
      <x:c r="I3" s="28"/>
      <x:c r="J3" s="28"/>
      <x:c r="K3" s="28"/>
      <x:c r="L3" s="28"/>
      <x:c r="M3" s="28"/>
      <x:c r="N3" s="28"/>
      <x:c r="O3" s="339"/>
      <x:c r="P3" s="339"/>
      <x:c r="Q3" s="339"/>
      <x:c r="R3" s="339"/>
      <x:c r="S3" s="339"/>
      <x:c r="T3" s="339"/>
      <x:c r="U3" s="339"/>
      <x:c r="V3" s="339"/>
      <x:c r="W3" s="339"/>
      <x:c r="X3" s="339"/>
      <x:c r="Y3" s="339"/>
      <x:c r="Z3" s="339"/>
    </x:row>
    <x:row r="4" ht="30" customHeight="1">
      <x:c r="A4" s="343" t="str">
        <x:v>Scenario</x:v>
      </x:c>
      <x:c r="B4" s="343" t="str">
        <x:v>Pilot Year 1</x:v>
      </x:c>
      <x:c r="C4" s="343" t="str">
        <x:v>Pilot Year 2</x:v>
      </x:c>
      <x:c r="D4" s="343" t="str">
        <x:v>Pilot Year 3</x:v>
      </x:c>
      <x:c r="E4" s="343" t="str">
        <x:v>Three-year total</x:v>
      </x:c>
      <x:c r="F4" s="343" t="str">
        <x:v>Cost per treatment student-year</x:v>
      </x:c>
      <x:c r="G4" s="28"/>
      <x:c r="H4" s="406" t="str">
        <x:v>Key interpretation: the He Ara Angitū Learning Capital Account is funded from the same participation payment. It is not added again. Comparison students receive evaluation support but not participation payments.</x:v>
      </x:c>
      <x:c r="I4" s="406"/>
      <x:c r="J4" s="406"/>
      <x:c r="K4" s="406"/>
      <x:c r="L4" s="406"/>
      <x:c r="M4" s="406"/>
      <x:c r="N4" s="406"/>
      <x:c r="O4" s="339"/>
      <x:c r="P4" s="339"/>
      <x:c r="Q4" s="339"/>
      <x:c r="R4" s="339"/>
      <x:c r="S4" s="339"/>
      <x:c r="T4" s="339"/>
      <x:c r="U4" s="339"/>
      <x:c r="V4" s="339"/>
      <x:c r="W4" s="339"/>
      <x:c r="X4" s="339"/>
      <x:c r="Y4" s="339"/>
      <x:c r="Z4" s="339"/>
    </x:row>
    <x:row r="5">
      <x:c r="A5" s="407" t="str">
        <x:v>Low</x:v>
      </x:c>
      <x:c r="B5" s="345" t="n">
        <x:f>Assumptions!$D$17*Assumptions!$D$21*Assumptions!$D$22*Assumptions!$D$23+I54*Assumptions!$D$11+(I54*Assumptions!$D$11*Assumptions!$D$12)</x:f>
        <x:v>23776617.1119</x:v>
      </x:c>
      <x:c r="C5" s="345" t="n">
        <x:f>Assumptions!$D$17*Assumptions!$D$21*Assumptions!$D$22*Assumptions!$D$24+J54*Assumptions!$D$11+(J54*Assumptions!$D$11*Assumptions!$D$12)</x:f>
        <x:v>23863622.21815</x:v>
      </x:c>
      <x:c r="D5" s="345" t="n">
        <x:f>Assumptions!$D$17*Assumptions!$D$21*Assumptions!$D$22*Assumptions!$D$25+K54*Assumptions!$D$11+(K54*Assumptions!$D$11*Assumptions!$D$12)</x:f>
        <x:v>25585958.177525</x:v>
      </x:c>
      <x:c r="E5" s="345" t="n">
        <x:f>SUM(B5:D5)</x:f>
        <x:v>73226197.507575</x:v>
      </x:c>
      <x:c r="F5" s="345" t="n">
        <x:f>E5/(Assumptions!$D$17*3)</x:f>
        <x:v>5811.602976791667</x:v>
      </x:c>
      <x:c r="G5" s="28"/>
      <x:c r="H5" s="28"/>
      <x:c r="I5" s="28"/>
      <x:c r="J5" s="28"/>
      <x:c r="K5" s="28"/>
      <x:c r="L5" s="28"/>
      <x:c r="M5" s="28"/>
      <x:c r="N5" s="28"/>
      <x:c r="O5" s="339"/>
      <x:c r="P5" s="339"/>
      <x:c r="Q5" s="339"/>
      <x:c r="R5" s="339"/>
      <x:c r="S5" s="339"/>
      <x:c r="T5" s="339"/>
      <x:c r="U5" s="339"/>
      <x:c r="V5" s="339"/>
      <x:c r="W5" s="339"/>
      <x:c r="X5" s="339"/>
      <x:c r="Y5" s="339"/>
      <x:c r="Z5" s="339"/>
    </x:row>
    <x:row r="6">
      <x:c r="A6" s="408" t="str">
        <x:v>Central</x:v>
      </x:c>
      <x:c r="B6" s="409" t="n">
        <x:f>I56</x:f>
        <x:v>31666424.332500003</x:v>
      </x:c>
      <x:c r="C6" s="409" t="n">
        <x:f>J56</x:f>
        <x:v>31890708.551250003</x:v>
      </x:c>
      <x:c r="D6" s="409" t="n">
        <x:f>K56</x:f>
        <x:v>34022837.379375</x:v>
      </x:c>
      <x:c r="E6" s="409" t="n">
        <x:f>L56</x:f>
        <x:v>97579970.263125</x:v>
      </x:c>
      <x:c r="F6" s="409" t="n">
        <x:f>E6/(Assumptions!$E$17*3)</x:f>
        <x:v>7744.442084375</x:v>
      </x:c>
      <x:c r="G6" s="28"/>
      <x:c r="H6" s="28"/>
      <x:c r="I6" s="28"/>
      <x:c r="J6" s="28"/>
      <x:c r="K6" s="28"/>
      <x:c r="L6" s="28"/>
      <x:c r="M6" s="28"/>
      <x:c r="N6" s="28"/>
      <x:c r="O6" s="339"/>
      <x:c r="P6" s="339"/>
      <x:c r="Q6" s="339"/>
      <x:c r="R6" s="339"/>
      <x:c r="S6" s="339"/>
      <x:c r="T6" s="339"/>
      <x:c r="U6" s="339"/>
      <x:c r="V6" s="339"/>
      <x:c r="W6" s="339"/>
      <x:c r="X6" s="339"/>
      <x:c r="Y6" s="339"/>
      <x:c r="Z6" s="339"/>
    </x:row>
    <x:row r="7">
      <x:c r="A7" s="407" t="str">
        <x:v>High</x:v>
      </x:c>
      <x:c r="B7" s="345" t="n">
        <x:f>Assumptions!$F$17*Assumptions!$F$21*Assumptions!$F$22*Assumptions!$F$23+I54*Assumptions!$F$11+(I54*Assumptions!$F$11*Assumptions!$F$12)</x:f>
        <x:v>42263899.11</x:v>
      </x:c>
      <x:c r="C7" s="345" t="n">
        <x:f>Assumptions!$F$17*Assumptions!$F$21*Assumptions!$F$22*Assumptions!$F$24+J54*Assumptions!$F$11+(J54*Assumptions!$F$11*Assumptions!$F$12)</x:f>
        <x:v>41848944.735</x:v>
      </x:c>
      <x:c r="D7" s="345" t="n">
        <x:f>Assumptions!$F$17*Assumptions!$F$21*Assumptions!$F$22*Assumptions!$F$25+K54*Assumptions!$F$11+(K54*Assumptions!$F$11*Assumptions!$F$12)</x:f>
        <x:v>44334783.1725</x:v>
      </x:c>
      <x:c r="E7" s="345" t="n">
        <x:f>SUM(B7:D7)</x:f>
        <x:v>128447627.0175</x:v>
      </x:c>
      <x:c r="F7" s="345" t="n">
        <x:f>E7/(Assumptions!$F$17*3)</x:f>
        <x:v>10194.2561125</x:v>
      </x:c>
      <x:c r="G7" s="28"/>
      <x:c r="H7" s="28"/>
      <x:c r="I7" s="28"/>
      <x:c r="J7" s="28"/>
      <x:c r="K7" s="28"/>
      <x:c r="L7" s="28"/>
      <x:c r="M7" s="28"/>
      <x:c r="N7" s="28"/>
      <x:c r="O7" s="339"/>
      <x:c r="P7" s="339"/>
      <x:c r="Q7" s="339"/>
      <x:c r="R7" s="339"/>
      <x:c r="S7" s="339"/>
      <x:c r="T7" s="339"/>
      <x:c r="U7" s="339"/>
      <x:c r="V7" s="339"/>
      <x:c r="W7" s="339"/>
      <x:c r="X7" s="339"/>
      <x:c r="Y7" s="339"/>
      <x:c r="Z7" s="339"/>
    </x:row>
    <x:row r="8" ht="22" customHeight="1">
      <x:c r="A8" s="633" t="str">
        <x:v>Central pilot payment split and later education-capital effects</x:v>
      </x:c>
      <x:c r="B8" s="633" t="str">
        <x:v>Central pilot payment split and later education-capital effects</x:v>
      </x:c>
      <x:c r="C8" s="633" t="str">
        <x:v>Central pilot payment split and later education-capital effects</x:v>
      </x:c>
      <x:c r="D8" s="633" t="str">
        <x:v>Central pilot payment split and later education-capital effects</x:v>
      </x:c>
      <x:c r="E8" s="633" t="str">
        <x:v>Central pilot payment split and later education-capital effects</x:v>
      </x:c>
      <x:c r="F8" s="633" t="str">
        <x:v>Central pilot payment split and later education-capital effects</x:v>
      </x:c>
      <x:c r="G8" s="633" t="str">
        <x:v>Central pilot payment split and later education-capital effects</x:v>
      </x:c>
      <x:c r="H8" s="633" t="str">
        <x:v>Central pilot payment split and later education-capital effects</x:v>
      </x:c>
      <x:c r="I8" s="633" t="str">
        <x:v>Central pilot payment split and later education-capital effects</x:v>
      </x:c>
      <x:c r="J8" s="633" t="str">
        <x:v>Central pilot payment split and later education-capital effects</x:v>
      </x:c>
      <x:c r="K8" s="633" t="str">
        <x:v>Central pilot payment split and later education-capital effects</x:v>
      </x:c>
      <x:c r="L8" s="633" t="str">
        <x:v>Central pilot payment split and later education-capital effects</x:v>
      </x:c>
      <x:c r="M8" s="633" t="str">
        <x:v>Central pilot payment split and later education-capital effects</x:v>
      </x:c>
      <x:c r="N8" s="633" t="str">
        <x:v>Central pilot payment split and later education-capital effects</x:v>
      </x:c>
      <x:c r="O8" s="339"/>
      <x:c r="P8" s="339"/>
      <x:c r="Q8" s="339"/>
      <x:c r="R8" s="339"/>
      <x:c r="S8" s="339"/>
      <x:c r="T8" s="339"/>
      <x:c r="U8" s="339"/>
      <x:c r="V8" s="339"/>
      <x:c r="W8" s="339"/>
      <x:c r="X8" s="339"/>
      <x:c r="Y8" s="339"/>
      <x:c r="Z8" s="339"/>
    </x:row>
    <x:row r="9" ht="28" customHeight="1">
      <x:c r="A9" s="526" t="str">
        <x:v>Metric</x:v>
      </x:c>
      <x:c r="B9" s="526" t="str">
        <x:v>Immediate-access payments — 3 years</x:v>
      </x:c>
      <x:c r="C9" s="526" t="str">
        <x:v>Learning Capital deposits — 3 years</x:v>
      </x:c>
      <x:c r="D9" s="526" t="str">
        <x:v>Projected account assets after 3 years</x:v>
      </x:c>
      <x:c r="E9" s="526" t="str">
        <x:v>Projected student-loan principal displaced</x:v>
      </x:c>
      <x:c r="F9" s="526" t="str">
        <x:v>Official fair-value cost avoided</x:v>
      </x:c>
      <x:c r="G9" s="526" t="str">
        <x:v>Timing warning</x:v>
      </x:c>
      <x:c r="H9" s="28" t="str"/>
      <x:c r="I9" s="28" t="str"/>
      <x:c r="J9" s="28" t="str"/>
      <x:c r="K9" s="28" t="str"/>
      <x:c r="L9" s="28" t="str"/>
      <x:c r="M9" s="28" t="str"/>
      <x:c r="N9" s="28" t="str"/>
      <x:c r="O9" s="339"/>
      <x:c r="P9" s="339"/>
      <x:c r="Q9" s="339"/>
      <x:c r="R9" s="339"/>
      <x:c r="S9" s="339"/>
      <x:c r="T9" s="339"/>
      <x:c r="U9" s="339"/>
      <x:c r="V9" s="339"/>
      <x:c r="W9" s="339"/>
      <x:c r="X9" s="339"/>
      <x:c r="Y9" s="339"/>
      <x:c r="Z9" s="339"/>
    </x:row>
    <x:row r="10">
      <x:c r="A10" s="28" t="str">
        <x:v>Central pilot</x:v>
      </x:c>
      <x:c r="B10" s="529" t="n">
        <x:f>L14</x:f>
        <x:v>23940000</x:v>
      </x:c>
      <x:c r="C10" s="529" t="n">
        <x:f>L15</x:f>
        <x:v>23940000</x:v>
      </x:c>
      <x:c r="D10" s="345" t="n">
        <x:f>'Learning Capital &amp; ROI'!$H$44*Assumptions!$E$17</x:f>
        <x:v>26181582.135709427</x:v>
      </x:c>
      <x:c r="E10" s="345" t="n">
        <x:f>((MIN('Learning Capital &amp; ROI'!$H$44,Assumptions!$E$64)*(Assumptions!$E$70+Assumptions!$E$71)*Assumptions!$E$72)*Assumptions!$E$73*Assumptions!$E$74)*Assumptions!$E$17</x:f>
        <x:v>6735997.451875321</x:v>
      </x:c>
      <x:c r="F10" s="345" t="n">
        <x:f>(((MIN('Learning Capital &amp; ROI'!$H$44,Assumptions!$E$64)*(Assumptions!$E$70+Assumptions!$E$71)*Assumptions!$E$72)*Assumptions!$E$73*Assumptions!$E$74)*Assumptions!$E$80)*Assumptions!$E$17</x:f>
        <x:v>2306405.52752211</x:v>
      </x:c>
      <x:c r="G10" s="28" t="str">
        <x:v>Loan offsets arise after approved post-school withdrawals and do not reduce the three-year pilot appropriation.</x:v>
      </x:c>
      <x:c r="H10" s="28" t="str"/>
      <x:c r="I10" s="28" t="str"/>
      <x:c r="J10" s="28" t="str"/>
      <x:c r="K10" s="28" t="str"/>
      <x:c r="L10" s="28" t="str"/>
      <x:c r="M10" s="28" t="str"/>
      <x:c r="N10" s="28" t="str"/>
      <x:c r="O10" s="339"/>
      <x:c r="P10" s="339"/>
      <x:c r="Q10" s="339"/>
      <x:c r="R10" s="339"/>
      <x:c r="S10" s="339"/>
      <x:c r="T10" s="339"/>
      <x:c r="U10" s="339"/>
      <x:c r="V10" s="339"/>
      <x:c r="W10" s="339"/>
      <x:c r="X10" s="339"/>
      <x:c r="Y10" s="339"/>
      <x:c r="Z10" s="339"/>
    </x:row>
    <x:row r="11">
      <x:c r="A11" s="28"/>
      <x:c r="B11" s="28"/>
      <x:c r="C11" s="28"/>
      <x:c r="D11" s="28"/>
      <x:c r="E11" s="28"/>
      <x:c r="F11" s="28"/>
      <x:c r="G11" s="28"/>
      <x:c r="H11" s="28"/>
      <x:c r="I11" s="28"/>
      <x:c r="J11" s="28"/>
      <x:c r="K11" s="28"/>
      <x:c r="L11" s="28"/>
      <x:c r="M11" s="28"/>
      <x:c r="N11" s="28"/>
      <x:c r="O11" s="339"/>
      <x:c r="P11" s="339"/>
      <x:c r="Q11" s="339"/>
      <x:c r="R11" s="339"/>
      <x:c r="S11" s="339"/>
      <x:c r="T11" s="339"/>
      <x:c r="U11" s="339"/>
      <x:c r="V11" s="339"/>
      <x:c r="W11" s="339"/>
      <x:c r="X11" s="339"/>
      <x:c r="Y11" s="339"/>
      <x:c r="Z11" s="339"/>
    </x:row>
    <x:row r="12" ht="28" customHeight="1">
      <x:c r="A12" s="343" t="str">
        <x:v>Cost group</x:v>
      </x:c>
      <x:c r="B12" s="343" t="str">
        <x:v>Cost item</x:v>
      </x:c>
      <x:c r="C12" s="343" t="str">
        <x:v>Transparent cost basis</x:v>
      </x:c>
      <x:c r="D12" s="343" t="str">
        <x:v>Year 1 qty</x:v>
      </x:c>
      <x:c r="E12" s="343" t="str">
        <x:v>Year 2 qty</x:v>
      </x:c>
      <x:c r="F12" s="343" t="str">
        <x:v>Year 3 qty</x:v>
      </x:c>
      <x:c r="G12" s="343" t="str">
        <x:v>Year 1 unit cost</x:v>
      </x:c>
      <x:c r="H12" s="343" t="str">
        <x:v>Escalation</x:v>
      </x:c>
      <x:c r="I12" s="343" t="str">
        <x:v>Pilot Year 1</x:v>
      </x:c>
      <x:c r="J12" s="343" t="str">
        <x:v>Pilot Year 2</x:v>
      </x:c>
      <x:c r="K12" s="343" t="str">
        <x:v>Pilot Year 3</x:v>
      </x:c>
      <x:c r="L12" s="343" t="str">
        <x:v>Three-year total</x:v>
      </x:c>
      <x:c r="M12" s="343" t="str">
        <x:v>Source ID</x:v>
      </x:c>
      <x:c r="N12" s="343" t="str">
        <x:v>Evidence / validation</x:v>
      </x:c>
      <x:c r="O12" s="339"/>
      <x:c r="P12" s="339"/>
      <x:c r="Q12" s="339"/>
      <x:c r="R12" s="339"/>
      <x:c r="S12" s="339"/>
      <x:c r="T12" s="339"/>
      <x:c r="U12" s="339"/>
      <x:c r="V12" s="339"/>
      <x:c r="W12" s="339"/>
      <x:c r="X12" s="339"/>
      <x:c r="Y12" s="339"/>
      <x:c r="Z12" s="339"/>
    </x:row>
    <x:row r="13" ht="21" customHeight="1">
      <x:c r="A13" s="368" t="str">
        <x:v>Participant payments</x:v>
      </x:c>
      <x:c r="B13" s="368" t="str">
        <x:v>Participant payments</x:v>
      </x:c>
      <x:c r="C13" s="368" t="str">
        <x:v>Participant payments</x:v>
      </x:c>
      <x:c r="D13" s="410" t="str">
        <x:v>Participant payments</x:v>
      </x:c>
      <x:c r="E13" s="410" t="str">
        <x:v>Participant payments</x:v>
      </x:c>
      <x:c r="F13" s="410" t="str">
        <x:v>Participant payments</x:v>
      </x:c>
      <x:c r="G13" s="411" t="str">
        <x:v>Participant payments</x:v>
      </x:c>
      <x:c r="H13" s="412" t="str">
        <x:v>Participant payments</x:v>
      </x:c>
      <x:c r="I13" s="413" t="str">
        <x:v>Participant payments</x:v>
      </x:c>
      <x:c r="J13" s="413" t="str">
        <x:v>Participant payments</x:v>
      </x:c>
      <x:c r="K13" s="413" t="str">
        <x:v>Participant payments</x:v>
      </x:c>
      <x:c r="L13" s="413" t="str">
        <x:v>Participant payments</x:v>
      </x:c>
      <x:c r="M13" s="368" t="str">
        <x:v>Participant payments</x:v>
      </x:c>
      <x:c r="N13" s="368" t="str">
        <x:v>Participant payments</x:v>
      </x:c>
      <x:c r="O13" s="339"/>
      <x:c r="P13" s="339"/>
      <x:c r="Q13" s="339"/>
      <x:c r="R13" s="339"/>
      <x:c r="S13" s="339"/>
      <x:c r="T13" s="339"/>
      <x:c r="U13" s="339"/>
      <x:c r="V13" s="339"/>
      <x:c r="W13" s="339"/>
      <x:c r="X13" s="339"/>
      <x:c r="Y13" s="339"/>
      <x:c r="Z13" s="339"/>
    </x:row>
    <x:row r="14">
      <x:c r="A14" s="28" t="str">
        <x:v>Participant payments</x:v>
      </x:c>
      <x:c r="B14" s="28" t="str">
        <x:v>Immediate-access participation payments</x:v>
      </x:c>
      <x:c r="C14" s="28" t="str">
        <x:v>Treatment students × weeks × maximum × earned proportion × immediate share</x:v>
      </x:c>
      <x:c r="D14" s="32"/>
      <x:c r="E14" s="32"/>
      <x:c r="F14" s="32"/>
      <x:c r="G14" s="414" t="n">
        <x:v>0</x:v>
      </x:c>
      <x:c r="H14" s="415" t="n">
        <x:v>0</x:v>
      </x:c>
      <x:c r="I14" s="520" t="n">
        <x:f>Assumptions!$E$17*Assumptions!$E$21*Assumptions!$E$22*Assumptions!$E$23*(1-Assumptions!$E$55)</x:f>
        <x:v>6930000.000000001</x:v>
      </x:c>
      <x:c r="J14" s="520" t="n">
        <x:f>Assumptions!$E$17*Assumptions!$E$21*Assumptions!$E$22*Assumptions!$E$24*(1-Assumptions!$E$55)</x:f>
        <x:v>8190000</x:v>
      </x:c>
      <x:c r="K14" s="520" t="n">
        <x:f>Assumptions!$E$17*Assumptions!$E$21*Assumptions!$E$22*Assumptions!$E$25*(1-Assumptions!$E$55)</x:f>
        <x:v>8820000</x:v>
      </x:c>
      <x:c r="L14" s="520" t="n">
        <x:f>SUM(I14:K14)</x:f>
        <x:v>23940000</x:v>
      </x:c>
      <x:c r="M14" s="35" t="str">
        <x:v>S01;A06</x:v>
      </x:c>
      <x:c r="N14" s="35" t="str">
        <x:v>Both payment portions remain programme expenditure.</x:v>
      </x:c>
      <x:c r="O14" s="339"/>
      <x:c r="P14" s="339"/>
      <x:c r="Q14" s="339"/>
      <x:c r="R14" s="339"/>
      <x:c r="S14" s="339"/>
      <x:c r="T14" s="339"/>
      <x:c r="U14" s="339"/>
      <x:c r="V14" s="339"/>
      <x:c r="W14" s="339"/>
      <x:c r="X14" s="339"/>
      <x:c r="Y14" s="339"/>
      <x:c r="Z14" s="339"/>
    </x:row>
    <x:row r="15">
      <x:c r="A15" s="839" t="str">
        <x:v>Participant payments</x:v>
      </x:c>
      <x:c r="B15" s="839" t="str">
        <x:v>He Ara Angitū Learning Capital Account deposits</x:v>
      </x:c>
      <x:c r="C15" s="839" t="str">
        <x:v>Treatment students × weeks × maximum × earned proportion × protected-account share</x:v>
      </x:c>
      <x:c r="D15" s="840"/>
      <x:c r="E15" s="840"/>
      <x:c r="F15" s="840"/>
      <x:c r="G15" s="841" t="n">
        <x:v>0</x:v>
      </x:c>
      <x:c r="H15" s="842" t="n">
        <x:v>0</x:v>
      </x:c>
      <x:c r="I15" s="843" t="n">
        <x:f>Assumptions!$E$17*Assumptions!$E$21*Assumptions!$E$22*Assumptions!$E$23*Assumptions!$E$55</x:f>
        <x:v>6930000.000000001</x:v>
      </x:c>
      <x:c r="J15" s="843" t="n">
        <x:f>Assumptions!$E$17*Assumptions!$E$21*Assumptions!$E$22*Assumptions!$E$24*Assumptions!$E$55</x:f>
        <x:v>8190000</x:v>
      </x:c>
      <x:c r="K15" s="843" t="n">
        <x:f>Assumptions!$E$17*Assumptions!$E$21*Assumptions!$E$22*Assumptions!$E$25*Assumptions!$E$55</x:f>
        <x:v>8820000</x:v>
      </x:c>
      <x:c r="L15" s="843" t="n">
        <x:f>SUM(I15:K15)</x:f>
        <x:v>23940000</x:v>
      </x:c>
      <x:c r="M15" s="839" t="str">
        <x:v>S01;A06;A15</x:v>
      </x:c>
      <x:c r="N15" s="839" t="str">
        <x:v>Protected education capital; investment returns are uncertain.</x:v>
      </x:c>
      <x:c r="O15" s="339"/>
      <x:c r="P15" s="339"/>
      <x:c r="Q15" s="339"/>
      <x:c r="R15" s="339"/>
      <x:c r="S15" s="339"/>
      <x:c r="T15" s="339"/>
      <x:c r="U15" s="339"/>
      <x:c r="V15" s="339"/>
      <x:c r="W15" s="339"/>
      <x:c r="X15" s="339"/>
      <x:c r="Y15" s="339"/>
      <x:c r="Z15" s="339"/>
    </x:row>
    <x:row r="16">
      <x:c r="A16" s="848" t="str">
        <x:v>Participant payments subtotal</x:v>
      </x:c>
      <x:c r="B16" s="848"/>
      <x:c r="C16" s="848"/>
      <x:c r="D16" s="848"/>
      <x:c r="E16" s="848"/>
      <x:c r="F16" s="848"/>
      <x:c r="G16" s="849"/>
      <x:c r="H16" s="850"/>
      <x:c r="I16" s="851" t="n">
        <x:f>SUM(I14:I15)</x:f>
        <x:v>13860000.000000002</x:v>
      </x:c>
      <x:c r="J16" s="851" t="n">
        <x:f>SUM(J14:J15)</x:f>
        <x:v>16380000</x:v>
      </x:c>
      <x:c r="K16" s="851" t="n">
        <x:f>SUM(K14:K15)</x:f>
        <x:v>17640000</x:v>
      </x:c>
      <x:c r="L16" s="851" t="n">
        <x:f>SUM(I16:K16)</x:f>
        <x:v>47880000</x:v>
      </x:c>
      <x:c r="M16" s="848"/>
      <x:c r="N16" s="848"/>
      <x:c r="O16" s="339"/>
      <x:c r="P16" s="339"/>
      <x:c r="Q16" s="339"/>
      <x:c r="R16" s="339"/>
      <x:c r="S16" s="339"/>
      <x:c r="T16" s="339"/>
      <x:c r="U16" s="339"/>
      <x:c r="V16" s="339"/>
      <x:c r="W16" s="339"/>
      <x:c r="X16" s="339"/>
      <x:c r="Y16" s="339"/>
      <x:c r="Z16" s="339"/>
    </x:row>
    <x:row r="17" ht="21" customHeight="1">
      <x:c r="A17" s="368" t="str">
        <x:v>Delivery staffing</x:v>
      </x:c>
      <x:c r="B17" s="368" t="str">
        <x:v>Delivery staffing</x:v>
      </x:c>
      <x:c r="C17" s="368" t="str">
        <x:v>Delivery staffing</x:v>
      </x:c>
      <x:c r="D17" s="410" t="str">
        <x:v>Delivery staffing</x:v>
      </x:c>
      <x:c r="E17" s="410" t="str">
        <x:v>Delivery staffing</x:v>
      </x:c>
      <x:c r="F17" s="410" t="str">
        <x:v>Delivery staffing</x:v>
      </x:c>
      <x:c r="G17" s="411" t="str">
        <x:v>Delivery staffing</x:v>
      </x:c>
      <x:c r="H17" s="412" t="str">
        <x:v>Delivery staffing</x:v>
      </x:c>
      <x:c r="I17" s="413" t="str">
        <x:v>Delivery staffing</x:v>
      </x:c>
      <x:c r="J17" s="413" t="str">
        <x:v>Delivery staffing</x:v>
      </x:c>
      <x:c r="K17" s="413" t="str">
        <x:v>Delivery staffing</x:v>
      </x:c>
      <x:c r="L17" s="413" t="str">
        <x:v>Delivery staffing</x:v>
      </x:c>
      <x:c r="M17" s="368" t="str">
        <x:v>Delivery staffing</x:v>
      </x:c>
      <x:c r="N17" s="368" t="str">
        <x:v>Delivery staffing</x:v>
      </x:c>
      <x:c r="O17" s="339"/>
      <x:c r="P17" s="339"/>
      <x:c r="Q17" s="339"/>
      <x:c r="R17" s="339"/>
      <x:c r="S17" s="339"/>
      <x:c r="T17" s="339"/>
      <x:c r="U17" s="339"/>
      <x:c r="V17" s="339"/>
      <x:c r="W17" s="339"/>
      <x:c r="X17" s="339"/>
      <x:c r="Y17" s="339"/>
      <x:c r="Z17" s="339"/>
    </x:row>
    <x:row r="18">
      <x:c r="A18" s="28" t="str">
        <x:v>Delivery staffing</x:v>
      </x:c>
      <x:c r="B18" s="28" t="str">
        <x:v>School Programme Coordinators</x:v>
      </x:c>
      <x:c r="C18" s="28" t="str">
        <x:v>Greater of treatment schools or treatment students ÷ 500; central budget uses 9 FTE</x:v>
      </x:c>
      <x:c r="D18" s="32" t="n">
        <x:v>9</x:v>
      </x:c>
      <x:c r="E18" s="32" t="n">
        <x:v>9</x:v>
      </x:c>
      <x:c r="F18" s="32" t="n">
        <x:v>9</x:v>
      </x:c>
      <x:c r="G18" s="421" t="n">
        <x:v>115000</x:v>
      </x:c>
      <x:c r="H18" s="422" t="n">
        <x:v>0.025</x:v>
      </x:c>
      <x:c r="I18" s="423" t="n">
        <x:f>D18*G18</x:f>
        <x:v>1035000</x:v>
      </x:c>
      <x:c r="J18" s="423" t="n">
        <x:f>E18*G18*(1+H18)</x:f>
        <x:v>1060875</x:v>
      </x:c>
      <x:c r="K18" s="423" t="n">
        <x:f>F18*G18*(1+H18)^2</x:f>
        <x:v>1087396.875</x:v>
      </x:c>
      <x:c r="L18" s="423" t="n">
        <x:f>SUM(I18:K18)</x:f>
        <x:v>3183271.875</x:v>
      </x:c>
      <x:c r="M18" s="28" t="str">
        <x:v>S01;S09;S11</x:v>
      </x:c>
      <x:c r="N18" s="28" t="str">
        <x:v>Workload ratio must be tested.</x:v>
      </x:c>
      <x:c r="O18" s="339"/>
      <x:c r="P18" s="339"/>
      <x:c r="Q18" s="339"/>
      <x:c r="R18" s="339"/>
      <x:c r="S18" s="339"/>
      <x:c r="T18" s="339"/>
      <x:c r="U18" s="339"/>
      <x:c r="V18" s="339"/>
      <x:c r="W18" s="339"/>
      <x:c r="X18" s="339"/>
      <x:c r="Y18" s="339"/>
      <x:c r="Z18" s="339"/>
    </x:row>
    <x:row r="19">
      <x:c r="A19" s="28" t="str">
        <x:v>Delivery staffing</x:v>
      </x:c>
      <x:c r="B19" s="28" t="str">
        <x:v>Regional Delivery Managers</x:v>
      </x:c>
      <x:c r="C19" s="28" t="str">
        <x:v>2 loaded FTE</x:v>
      </x:c>
      <x:c r="D19" s="32" t="n">
        <x:v>2</x:v>
      </x:c>
      <x:c r="E19" s="32" t="n">
        <x:v>2</x:v>
      </x:c>
      <x:c r="F19" s="32" t="n">
        <x:v>2</x:v>
      </x:c>
      <x:c r="G19" s="421" t="n">
        <x:v>175000</x:v>
      </x:c>
      <x:c r="H19" s="422" t="n">
        <x:v>0.025</x:v>
      </x:c>
      <x:c r="I19" s="423" t="n">
        <x:f>D19*G19</x:f>
        <x:v>350000</x:v>
      </x:c>
      <x:c r="J19" s="423" t="n">
        <x:f>E19*G19*(1+H19)</x:f>
        <x:v>358749.99999999994</x:v>
      </x:c>
      <x:c r="K19" s="423" t="n">
        <x:f>F19*G19*(1+H19)^2</x:f>
        <x:v>367718.75</x:v>
      </x:c>
      <x:c r="L19" s="423" t="n">
        <x:f>SUM(I19:K19)</x:f>
        <x:v>1076468.75</x:v>
      </x:c>
      <x:c r="M19" s="28" t="str">
        <x:v>S09;S10</x:v>
      </x:c>
      <x:c r="N19" s="28" t="str">
        <x:v>Confirm spans of control.</x:v>
      </x:c>
      <x:c r="O19" s="339"/>
      <x:c r="P19" s="339"/>
      <x:c r="Q19" s="339"/>
      <x:c r="R19" s="339"/>
      <x:c r="S19" s="339"/>
      <x:c r="T19" s="339"/>
      <x:c r="U19" s="339"/>
      <x:c r="V19" s="339"/>
      <x:c r="W19" s="339"/>
      <x:c r="X19" s="339"/>
      <x:c r="Y19" s="339"/>
      <x:c r="Z19" s="339"/>
    </x:row>
    <x:row r="20">
      <x:c r="A20" s="28" t="str">
        <x:v>Delivery staffing</x:v>
      </x:c>
      <x:c r="B20" s="28" t="str">
        <x:v>Safeguarding and Mentor Supervisors</x:v>
      </x:c>
      <x:c r="C20" s="28" t="str">
        <x:v>4 loaded FTE</x:v>
      </x:c>
      <x:c r="D20" s="32" t="n">
        <x:v>4</x:v>
      </x:c>
      <x:c r="E20" s="32" t="n">
        <x:v>4</x:v>
      </x:c>
      <x:c r="F20" s="32" t="n">
        <x:v>4</x:v>
      </x:c>
      <x:c r="G20" s="421" t="n">
        <x:v>130000</x:v>
      </x:c>
      <x:c r="H20" s="422" t="n">
        <x:v>0.025</x:v>
      </x:c>
      <x:c r="I20" s="423" t="n">
        <x:f>D20*G20</x:f>
        <x:v>520000</x:v>
      </x:c>
      <x:c r="J20" s="423" t="n">
        <x:f>E20*G20*(1+H20)</x:f>
        <x:v>533000</x:v>
      </x:c>
      <x:c r="K20" s="423" t="n">
        <x:f>F20*G20*(1+H20)^2</x:f>
        <x:v>546325</x:v>
      </x:c>
      <x:c r="L20" s="423" t="n">
        <x:f>SUM(I20:K20)</x:f>
        <x:v>1599325</x:v>
      </x:c>
      <x:c r="M20" s="28" t="str">
        <x:v>S01;S09</x:v>
      </x:c>
      <x:c r="N20" s="28" t="str">
        <x:v>Confirm mentor numbers, caseload and after-hours duty.</x:v>
      </x:c>
      <x:c r="O20" s="339"/>
      <x:c r="P20" s="339"/>
      <x:c r="Q20" s="339"/>
      <x:c r="R20" s="339"/>
      <x:c r="S20" s="339"/>
      <x:c r="T20" s="339"/>
      <x:c r="U20" s="339"/>
      <x:c r="V20" s="339"/>
      <x:c r="W20" s="339"/>
      <x:c r="X20" s="339"/>
      <x:c r="Y20" s="339"/>
      <x:c r="Z20" s="339"/>
    </x:row>
    <x:row r="21">
      <x:c r="A21" s="28" t="str">
        <x:v>Delivery staffing</x:v>
      </x:c>
      <x:c r="B21" s="28" t="str">
        <x:v>Employer / Community Partnership Coordinators</x:v>
      </x:c>
      <x:c r="C21" s="28" t="str">
        <x:v>4 loaded FTE</x:v>
      </x:c>
      <x:c r="D21" s="32" t="n">
        <x:v>4</x:v>
      </x:c>
      <x:c r="E21" s="32" t="n">
        <x:v>4</x:v>
      </x:c>
      <x:c r="F21" s="32" t="n">
        <x:v>4</x:v>
      </x:c>
      <x:c r="G21" s="421" t="n">
        <x:v>125000</x:v>
      </x:c>
      <x:c r="H21" s="422" t="n">
        <x:v>0.025</x:v>
      </x:c>
      <x:c r="I21" s="423" t="n">
        <x:f>D21*G21</x:f>
        <x:v>500000</x:v>
      </x:c>
      <x:c r="J21" s="423" t="n">
        <x:f>E21*G21*(1+H21)</x:f>
        <x:v>512499.99999999994</x:v>
      </x:c>
      <x:c r="K21" s="423" t="n">
        <x:f>F21*G21*(1+H21)^2</x:f>
        <x:v>525312.5</x:v>
      </x:c>
      <x:c r="L21" s="423" t="n">
        <x:f>SUM(I21:K21)</x:f>
        <x:v>1537812.5</x:v>
      </x:c>
      <x:c r="M21" s="28" t="str">
        <x:v>S01;S09</x:v>
      </x:c>
      <x:c r="N21" s="28" t="str">
        <x:v>Confirm regional partner workload.</x:v>
      </x:c>
      <x:c r="O21" s="339"/>
      <x:c r="P21" s="339"/>
      <x:c r="Q21" s="339"/>
      <x:c r="R21" s="339"/>
      <x:c r="S21" s="339"/>
      <x:c r="T21" s="339"/>
      <x:c r="U21" s="339"/>
      <x:c r="V21" s="339"/>
      <x:c r="W21" s="339"/>
      <x:c r="X21" s="339"/>
      <x:c r="Y21" s="339"/>
      <x:c r="Z21" s="339"/>
    </x:row>
    <x:row r="22">
      <x:c r="A22" s="28" t="str">
        <x:v>Delivery staffing</x:v>
      </x:c>
      <x:c r="B22" s="28" t="str">
        <x:v>Central Programme, Policy, Finance and Data Team</x:v>
      </x:c>
      <x:c r="C22" s="28" t="str">
        <x:v>10 loaded FTE</x:v>
      </x:c>
      <x:c r="D22" s="32" t="n">
        <x:v>10</x:v>
      </x:c>
      <x:c r="E22" s="32" t="n">
        <x:v>10</x:v>
      </x:c>
      <x:c r="F22" s="32" t="n">
        <x:v>10</x:v>
      </x:c>
      <x:c r="G22" s="421" t="n">
        <x:v>145000</x:v>
      </x:c>
      <x:c r="H22" s="422" t="n">
        <x:v>0.025</x:v>
      </x:c>
      <x:c r="I22" s="423" t="n">
        <x:f>D22*G22</x:f>
        <x:v>1450000</x:v>
      </x:c>
      <x:c r="J22" s="423" t="n">
        <x:f>E22*G22*(1+H22)</x:f>
        <x:v>1486249.9999999998</x:v>
      </x:c>
      <x:c r="K22" s="423" t="n">
        <x:f>F22*G22*(1+H22)^2</x:f>
        <x:v>1523406.25</x:v>
      </x:c>
      <x:c r="L22" s="423" t="n">
        <x:f>SUM(I22:K22)</x:f>
        <x:v>4459656.25</x:v>
      </x:c>
      <x:c r="M22" s="28" t="str">
        <x:v>S09;S10;S12;S13</x:v>
      </x:c>
      <x:c r="N22" s="28" t="str">
        <x:v>Role mix to be confirmed in Year 0.</x:v>
      </x:c>
      <x:c r="O22" s="339"/>
      <x:c r="P22" s="339"/>
      <x:c r="Q22" s="339"/>
      <x:c r="R22" s="339"/>
      <x:c r="S22" s="339"/>
      <x:c r="T22" s="339"/>
      <x:c r="U22" s="339"/>
      <x:c r="V22" s="339"/>
      <x:c r="W22" s="339"/>
      <x:c r="X22" s="339"/>
      <x:c r="Y22" s="339"/>
      <x:c r="Z22" s="339"/>
    </x:row>
    <x:row r="23">
      <x:c r="A23" s="28" t="str">
        <x:v>Delivery staffing</x:v>
      </x:c>
      <x:c r="B23" s="28" t="str">
        <x:v>Payment reconciliation and Learning Capital operations</x:v>
      </x:c>
      <x:c r="C23" s="28" t="str">
        <x:v>6 loaded FTE</x:v>
      </x:c>
      <x:c r="D23" s="32" t="n">
        <x:v>6</x:v>
      </x:c>
      <x:c r="E23" s="32" t="n">
        <x:v>6</x:v>
      </x:c>
      <x:c r="F23" s="32" t="n">
        <x:v>6</x:v>
      </x:c>
      <x:c r="G23" s="414" t="n">
        <x:v>100000</x:v>
      </x:c>
      <x:c r="H23" s="415" t="n">
        <x:v>0.025</x:v>
      </x:c>
      <x:c r="I23" s="416" t="n">
        <x:f>D23*G23</x:f>
        <x:v>600000</x:v>
      </x:c>
      <x:c r="J23" s="416" t="n">
        <x:f>E23*G23*(1+H23)</x:f>
        <x:v>615000</x:v>
      </x:c>
      <x:c r="K23" s="416" t="n">
        <x:f>F23*G23*(1+H23)^2</x:f>
        <x:v>630375</x:v>
      </x:c>
      <x:c r="L23" s="416" t="n">
        <x:f>SUM(I23:K23)</x:f>
        <x:v>1845375</x:v>
      </x:c>
      <x:c r="M23" s="35" t="str">
        <x:v>S18;A05</x:v>
      </x:c>
      <x:c r="N23" s="35" t="str">
        <x:v>Includes participant-payment reconciliation and protected-account operations; a formal agency and provider estimate is still required.</x:v>
      </x:c>
      <x:c r="O23" s="339"/>
      <x:c r="P23" s="339"/>
      <x:c r="Q23" s="339"/>
      <x:c r="R23" s="339"/>
      <x:c r="S23" s="339"/>
      <x:c r="T23" s="339"/>
      <x:c r="U23" s="339"/>
      <x:c r="V23" s="339"/>
      <x:c r="W23" s="339"/>
      <x:c r="X23" s="339"/>
      <x:c r="Y23" s="339"/>
      <x:c r="Z23" s="339"/>
    </x:row>
    <x:row r="24">
      <x:c r="A24" s="28" t="str">
        <x:v>Delivery staffing</x:v>
      </x:c>
      <x:c r="B24" s="28" t="str">
        <x:v>Participant Support Desk / Operations</x:v>
      </x:c>
      <x:c r="C24" s="28" t="str">
        <x:v>4 loaded FTE</x:v>
      </x:c>
      <x:c r="D24" s="32" t="n">
        <x:v>4</x:v>
      </x:c>
      <x:c r="E24" s="32" t="n">
        <x:v>4</x:v>
      </x:c>
      <x:c r="F24" s="32" t="n">
        <x:v>4</x:v>
      </x:c>
      <x:c r="G24" s="421" t="n">
        <x:v>95000</x:v>
      </x:c>
      <x:c r="H24" s="422" t="n">
        <x:v>0.025</x:v>
      </x:c>
      <x:c r="I24" s="423" t="n">
        <x:f>D24*G24</x:f>
        <x:v>380000</x:v>
      </x:c>
      <x:c r="J24" s="423" t="n">
        <x:f>E24*G24*(1+H24)</x:f>
        <x:v>389499.99999999994</x:v>
      </x:c>
      <x:c r="K24" s="423" t="n">
        <x:f>F24*G24*(1+H24)^2</x:f>
        <x:v>399237.49999999994</x:v>
      </x:c>
      <x:c r="L24" s="423" t="n">
        <x:f>SUM(I24:K24)</x:f>
        <x:v>1168737.5</x:v>
      </x:c>
      <x:c r="M24" s="28" t="str">
        <x:v>S09;S11</x:v>
      </x:c>
      <x:c r="N24" s="28" t="str">
        <x:v>Demand and operating hours require service design.</x:v>
      </x:c>
      <x:c r="O24" s="339"/>
      <x:c r="P24" s="339"/>
      <x:c r="Q24" s="339"/>
      <x:c r="R24" s="339"/>
      <x:c r="S24" s="339"/>
      <x:c r="T24" s="339"/>
      <x:c r="U24" s="339"/>
      <x:c r="V24" s="339"/>
      <x:c r="W24" s="339"/>
      <x:c r="X24" s="339"/>
      <x:c r="Y24" s="339"/>
      <x:c r="Z24" s="339"/>
    </x:row>
    <x:row r="25">
      <x:c r="A25" s="373" t="str">
        <x:v>Delivery staffing subtotal</x:v>
      </x:c>
      <x:c r="B25" s="373"/>
      <x:c r="C25" s="373"/>
      <x:c r="D25" s="417"/>
      <x:c r="E25" s="417"/>
      <x:c r="F25" s="417"/>
      <x:c r="G25" s="418"/>
      <x:c r="H25" s="419"/>
      <x:c r="I25" s="420" t="n">
        <x:f>SUM(I18:I24)</x:f>
        <x:v>4835000</x:v>
      </x:c>
      <x:c r="J25" s="420" t="n">
        <x:f>SUM(J18:J24)</x:f>
        <x:v>4955875</x:v>
      </x:c>
      <x:c r="K25" s="420" t="n">
        <x:f>SUM(K18:K24)</x:f>
        <x:v>5079771.875</x:v>
      </x:c>
      <x:c r="L25" s="420" t="n">
        <x:f>SUM(L18:L24)</x:f>
        <x:v>14870646.875</x:v>
      </x:c>
      <x:c r="M25" s="373"/>
      <x:c r="N25" s="373"/>
      <x:c r="O25" s="339"/>
      <x:c r="P25" s="339"/>
      <x:c r="Q25" s="339"/>
      <x:c r="R25" s="339"/>
      <x:c r="S25" s="339"/>
      <x:c r="T25" s="339"/>
      <x:c r="U25" s="339"/>
      <x:c r="V25" s="339"/>
      <x:c r="W25" s="339"/>
      <x:c r="X25" s="339"/>
      <x:c r="Y25" s="339"/>
      <x:c r="Z25" s="339"/>
    </x:row>
    <x:row r="26">
      <x:c r="A26" s="28"/>
      <x:c r="B26" s="28"/>
      <x:c r="C26" s="28"/>
      <x:c r="D26" s="32"/>
      <x:c r="E26" s="32"/>
      <x:c r="F26" s="32"/>
      <x:c r="G26" s="421"/>
      <x:c r="H26" s="422"/>
      <x:c r="I26" s="423"/>
      <x:c r="J26" s="423"/>
      <x:c r="K26" s="423"/>
      <x:c r="L26" s="423"/>
      <x:c r="M26" s="28"/>
      <x:c r="N26" s="28"/>
      <x:c r="O26" s="339"/>
      <x:c r="P26" s="339"/>
      <x:c r="Q26" s="339"/>
      <x:c r="R26" s="339"/>
      <x:c r="S26" s="339"/>
      <x:c r="T26" s="339"/>
      <x:c r="U26" s="339"/>
      <x:c r="V26" s="339"/>
      <x:c r="W26" s="339"/>
      <x:c r="X26" s="339"/>
      <x:c r="Y26" s="339"/>
      <x:c r="Z26" s="339"/>
    </x:row>
    <x:row r="27" ht="21" customHeight="1">
      <x:c r="A27" s="368" t="str">
        <x:v>Schools, mentoring &amp; access</x:v>
      </x:c>
      <x:c r="B27" s="368" t="str">
        <x:v>Schools, mentoring &amp; access</x:v>
      </x:c>
      <x:c r="C27" s="368" t="str">
        <x:v>Schools, mentoring &amp; access</x:v>
      </x:c>
      <x:c r="D27" s="410" t="str">
        <x:v>Schools, mentoring &amp; access</x:v>
      </x:c>
      <x:c r="E27" s="410" t="str">
        <x:v>Schools, mentoring &amp; access</x:v>
      </x:c>
      <x:c r="F27" s="410" t="str">
        <x:v>Schools, mentoring &amp; access</x:v>
      </x:c>
      <x:c r="G27" s="411" t="str">
        <x:v>Schools, mentoring &amp; access</x:v>
      </x:c>
      <x:c r="H27" s="412" t="str">
        <x:v>Schools, mentoring &amp; access</x:v>
      </x:c>
      <x:c r="I27" s="413" t="str">
        <x:v>Schools, mentoring &amp; access</x:v>
      </x:c>
      <x:c r="J27" s="413" t="str">
        <x:v>Schools, mentoring &amp; access</x:v>
      </x:c>
      <x:c r="K27" s="413" t="str">
        <x:v>Schools, mentoring &amp; access</x:v>
      </x:c>
      <x:c r="L27" s="413" t="str">
        <x:v>Schools, mentoring &amp; access</x:v>
      </x:c>
      <x:c r="M27" s="368" t="str">
        <x:v>Schools, mentoring &amp; access</x:v>
      </x:c>
      <x:c r="N27" s="368" t="str">
        <x:v>Schools, mentoring &amp; access</x:v>
      </x:c>
      <x:c r="O27" s="339"/>
      <x:c r="P27" s="339"/>
      <x:c r="Q27" s="339"/>
      <x:c r="R27" s="339"/>
      <x:c r="S27" s="339"/>
      <x:c r="T27" s="339"/>
      <x:c r="U27" s="339"/>
      <x:c r="V27" s="339"/>
      <x:c r="W27" s="339"/>
      <x:c r="X27" s="339"/>
      <x:c r="Y27" s="339"/>
      <x:c r="Z27" s="339"/>
    </x:row>
    <x:row r="28">
      <x:c r="A28" s="28" t="str">
        <x:v>Schools, mentoring &amp; access</x:v>
      </x:c>
      <x:c r="B28" s="28" t="str">
        <x:v>Treatment-school capacity grants</x:v>
      </x:c>
      <x:c r="C28" s="28" t="str">
        <x:v>8 schools × $100,000 per year</x:v>
      </x:c>
      <x:c r="D28" s="32" t="n">
        <x:v>8</x:v>
      </x:c>
      <x:c r="E28" s="32" t="n">
        <x:v>8</x:v>
      </x:c>
      <x:c r="F28" s="32" t="n">
        <x:v>8</x:v>
      </x:c>
      <x:c r="G28" s="414" t="n">
        <x:v>100000</x:v>
      </x:c>
      <x:c r="H28" s="415" t="n">
        <x:v>0</x:v>
      </x:c>
      <x:c r="I28" s="416" t="n">
        <x:f>D28*G28</x:f>
        <x:v>800000</x:v>
      </x:c>
      <x:c r="J28" s="416" t="n">
        <x:f>E28*G28*(1+H28)</x:f>
        <x:v>800000</x:v>
      </x:c>
      <x:c r="K28" s="416" t="n">
        <x:f>F28*G28*(1+H28)^2</x:f>
        <x:v>800000</x:v>
      </x:c>
      <x:c r="L28" s="416" t="n">
        <x:f>SUM(I28:K28)</x:f>
        <x:v>2400000</x:v>
      </x:c>
      <x:c r="M28" s="35" t="str">
        <x:v>A03</x:v>
      </x:c>
      <x:c r="N28" s="35" t="str">
        <x:v>Policy allowance; validate workload with schools.</x:v>
      </x:c>
      <x:c r="O28" s="339"/>
      <x:c r="P28" s="339"/>
      <x:c r="Q28" s="339"/>
      <x:c r="R28" s="339"/>
      <x:c r="S28" s="339"/>
      <x:c r="T28" s="339"/>
      <x:c r="U28" s="339"/>
      <x:c r="V28" s="339"/>
      <x:c r="W28" s="339"/>
      <x:c r="X28" s="339"/>
      <x:c r="Y28" s="339"/>
      <x:c r="Z28" s="339"/>
    </x:row>
    <x:row r="29">
      <x:c r="A29" s="28" t="str">
        <x:v>Schools, mentoring &amp; access</x:v>
      </x:c>
      <x:c r="B29" s="28" t="str">
        <x:v>Comparison-school participation grants</x:v>
      </x:c>
      <x:c r="C29" s="28" t="str">
        <x:v>8 schools × $30,000 per year</x:v>
      </x:c>
      <x:c r="D29" s="32" t="n">
        <x:v>8</x:v>
      </x:c>
      <x:c r="E29" s="32" t="n">
        <x:v>8</x:v>
      </x:c>
      <x:c r="F29" s="32" t="n">
        <x:v>8</x:v>
      </x:c>
      <x:c r="G29" s="421" t="n">
        <x:v>30000</x:v>
      </x:c>
      <x:c r="H29" s="422" t="n">
        <x:v>0</x:v>
      </x:c>
      <x:c r="I29" s="423" t="n">
        <x:f>D29*G29</x:f>
        <x:v>240000</x:v>
      </x:c>
      <x:c r="J29" s="423" t="n">
        <x:f>E29*G29*(1+H29)</x:f>
        <x:v>240000</x:v>
      </x:c>
      <x:c r="K29" s="423" t="n">
        <x:f>F29*G29*(1+H29)^2</x:f>
        <x:v>240000</x:v>
      </x:c>
      <x:c r="L29" s="423" t="n">
        <x:f>SUM(I29:K29)</x:f>
        <x:v>720000</x:v>
      </x:c>
      <x:c r="M29" s="28" t="str">
        <x:v>A03</x:v>
      </x:c>
      <x:c r="N29" s="28" t="str">
        <x:v>Covers data, consent, surveys and operational burden.</x:v>
      </x:c>
      <x:c r="O29" s="339"/>
      <x:c r="P29" s="339"/>
      <x:c r="Q29" s="339"/>
      <x:c r="R29" s="339"/>
      <x:c r="S29" s="339"/>
      <x:c r="T29" s="339"/>
      <x:c r="U29" s="339"/>
      <x:c r="V29" s="339"/>
      <x:c r="W29" s="339"/>
      <x:c r="X29" s="339"/>
      <x:c r="Y29" s="339"/>
      <x:c r="Z29" s="339"/>
    </x:row>
    <x:row r="30">
      <x:c r="A30" s="28" t="str">
        <x:v>Schools, mentoring &amp; access</x:v>
      </x:c>
      <x:c r="B30" s="28" t="str">
        <x:v>Mentor training, materials and recognition</x:v>
      </x:c>
      <x:c r="C30" s="28" t="str">
        <x:v>Annual programme allowance</x:v>
      </x:c>
      <x:c r="D30" s="32" t="n">
        <x:v>1</x:v>
      </x:c>
      <x:c r="E30" s="32" t="n">
        <x:v>1</x:v>
      </x:c>
      <x:c r="F30" s="32" t="n">
        <x:v>1</x:v>
      </x:c>
      <x:c r="G30" s="421" t="n">
        <x:v>400000</x:v>
      </x:c>
      <x:c r="H30" s="422" t="n">
        <x:v>0</x:v>
      </x:c>
      <x:c r="I30" s="423" t="n">
        <x:f>D30*G30</x:f>
        <x:v>400000</x:v>
      </x:c>
      <x:c r="J30" s="423" t="n">
        <x:f>E30*G30*(1+H30)</x:f>
        <x:v>400000</x:v>
      </x:c>
      <x:c r="K30" s="423" t="n">
        <x:f>F30*G30*(1+H30)^2</x:f>
        <x:v>400000</x:v>
      </x:c>
      <x:c r="L30" s="423" t="n">
        <x:f>SUM(I30:K30)</x:f>
        <x:v>1200000</x:v>
      </x:c>
      <x:c r="M30" s="28" t="str">
        <x:v>A02;S17</x:v>
      </x:c>
      <x:c r="N30" s="28" t="str">
        <x:v>Includes vetting administration; actual mentor numbers require design.</x:v>
      </x:c>
      <x:c r="O30" s="339"/>
      <x:c r="P30" s="339"/>
      <x:c r="Q30" s="339"/>
      <x:c r="R30" s="339"/>
      <x:c r="S30" s="339"/>
      <x:c r="T30" s="339"/>
      <x:c r="U30" s="339"/>
      <x:c r="V30" s="339"/>
      <x:c r="W30" s="339"/>
      <x:c r="X30" s="339"/>
      <x:c r="Y30" s="339"/>
      <x:c r="Z30" s="339"/>
    </x:row>
    <x:row r="31">
      <x:c r="A31" s="28" t="str">
        <x:v>Schools, mentoring &amp; access</x:v>
      </x:c>
      <x:c r="B31" s="28" t="str">
        <x:v>Whānau, transport, accessibility and participation support</x:v>
      </x:c>
      <x:c r="C31" s="28" t="str">
        <x:v>Annual flexible-access allowance</x:v>
      </x:c>
      <x:c r="D31" s="32" t="n">
        <x:v>1</x:v>
      </x:c>
      <x:c r="E31" s="32" t="n">
        <x:v>1</x:v>
      </x:c>
      <x:c r="F31" s="32" t="n">
        <x:v>1</x:v>
      </x:c>
      <x:c r="G31" s="421" t="n">
        <x:v>300000</x:v>
      </x:c>
      <x:c r="H31" s="422" t="n">
        <x:v>0</x:v>
      </x:c>
      <x:c r="I31" s="423" t="n">
        <x:f>D31*G31</x:f>
        <x:v>300000</x:v>
      </x:c>
      <x:c r="J31" s="423" t="n">
        <x:f>E31*G31*(1+H31)</x:f>
        <x:v>300000</x:v>
      </x:c>
      <x:c r="K31" s="423" t="n">
        <x:f>F31*G31*(1+H31)^2</x:f>
        <x:v>300000</x:v>
      </x:c>
      <x:c r="L31" s="423" t="n">
        <x:f>SUM(I31:K31)</x:f>
        <x:v>900000</x:v>
      </x:c>
      <x:c r="M31" s="28" t="str">
        <x:v>A02</x:v>
      </x:c>
      <x:c r="N31" s="28" t="str">
        <x:v>Equity-critical; allocation rules require co-design.</x:v>
      </x:c>
      <x:c r="O31" s="339"/>
      <x:c r="P31" s="339"/>
      <x:c r="Q31" s="339"/>
      <x:c r="R31" s="339"/>
      <x:c r="S31" s="339"/>
      <x:c r="T31" s="339"/>
      <x:c r="U31" s="339"/>
      <x:c r="V31" s="339"/>
      <x:c r="W31" s="339"/>
      <x:c r="X31" s="339"/>
      <x:c r="Y31" s="339"/>
      <x:c r="Z31" s="339"/>
    </x:row>
    <x:row r="32">
      <x:c r="A32" s="28" t="str">
        <x:v>Schools, mentoring &amp; access</x:v>
      </x:c>
      <x:c r="B32" s="28" t="str">
        <x:v>Police vetting fees</x:v>
      </x:c>
      <x:c r="C32" s="28" t="str">
        <x:v>300 / 350 / 400 vets × current fee incl. GST</x:v>
      </x:c>
      <x:c r="D32" s="32" t="n">
        <x:v>300</x:v>
      </x:c>
      <x:c r="E32" s="32" t="n">
        <x:v>350</x:v>
      </x:c>
      <x:c r="F32" s="32" t="n">
        <x:v>400</x:v>
      </x:c>
      <x:c r="G32" s="421" t="n">
        <x:v>9.775</x:v>
      </x:c>
      <x:c r="H32" s="422" t="n">
        <x:v>0</x:v>
      </x:c>
      <x:c r="I32" s="423" t="n">
        <x:f>D32*G32</x:f>
        <x:v>2932.5</x:v>
      </x:c>
      <x:c r="J32" s="423" t="n">
        <x:f>E32*G32*(1+H32)</x:f>
        <x:v>3421.25</x:v>
      </x:c>
      <x:c r="K32" s="423" t="n">
        <x:f>F32*G32*(1+H32)^2</x:f>
        <x:v>3910</x:v>
      </x:c>
      <x:c r="L32" s="423" t="n">
        <x:f>SUM(I32:K32)</x:f>
        <x:v>10263.75</x:v>
      </x:c>
      <x:c r="M32" s="28" t="str">
        <x:v>S17;S22</x:v>
      </x:c>
      <x:c r="N32" s="28" t="str">
        <x:v>Fee change is under consultation for 2027.</x:v>
      </x:c>
      <x:c r="O32" s="339"/>
      <x:c r="P32" s="339"/>
      <x:c r="Q32" s="339"/>
      <x:c r="R32" s="339"/>
      <x:c r="S32" s="339"/>
      <x:c r="T32" s="339"/>
      <x:c r="U32" s="339"/>
      <x:c r="V32" s="339"/>
      <x:c r="W32" s="339"/>
      <x:c r="X32" s="339"/>
      <x:c r="Y32" s="339"/>
      <x:c r="Z32" s="339"/>
    </x:row>
    <x:row r="33">
      <x:c r="A33" s="373" t="str">
        <x:v>Schools, mentoring &amp; access subtotal</x:v>
      </x:c>
      <x:c r="B33" s="373"/>
      <x:c r="C33" s="373"/>
      <x:c r="D33" s="417"/>
      <x:c r="E33" s="417"/>
      <x:c r="F33" s="417"/>
      <x:c r="G33" s="418"/>
      <x:c r="H33" s="419"/>
      <x:c r="I33" s="420" t="n">
        <x:f>SUM(I28:I32)</x:f>
        <x:v>1742932.5</x:v>
      </x:c>
      <x:c r="J33" s="420" t="n">
        <x:f>SUM(J28:J32)</x:f>
        <x:v>1743421.25</x:v>
      </x:c>
      <x:c r="K33" s="420" t="n">
        <x:f>SUM(K28:K32)</x:f>
        <x:v>1743910</x:v>
      </x:c>
      <x:c r="L33" s="420" t="n">
        <x:f>SUM(L28:L32)</x:f>
        <x:v>5230263.75</x:v>
      </x:c>
      <x:c r="M33" s="373"/>
      <x:c r="N33" s="373"/>
      <x:c r="O33" s="339"/>
      <x:c r="P33" s="339"/>
      <x:c r="Q33" s="339"/>
      <x:c r="R33" s="339"/>
      <x:c r="S33" s="339"/>
      <x:c r="T33" s="339"/>
      <x:c r="U33" s="339"/>
      <x:c r="V33" s="339"/>
      <x:c r="W33" s="339"/>
      <x:c r="X33" s="339"/>
      <x:c r="Y33" s="339"/>
      <x:c r="Z33" s="339"/>
    </x:row>
    <x:row r="34">
      <x:c r="A34" s="28"/>
      <x:c r="B34" s="28"/>
      <x:c r="C34" s="28"/>
      <x:c r="D34" s="32"/>
      <x:c r="E34" s="32"/>
      <x:c r="F34" s="32"/>
      <x:c r="G34" s="421"/>
      <x:c r="H34" s="422"/>
      <x:c r="I34" s="423"/>
      <x:c r="J34" s="423"/>
      <x:c r="K34" s="423"/>
      <x:c r="L34" s="423"/>
      <x:c r="M34" s="28"/>
      <x:c r="N34" s="28"/>
      <x:c r="O34" s="339"/>
      <x:c r="P34" s="339"/>
      <x:c r="Q34" s="339"/>
      <x:c r="R34" s="339"/>
      <x:c r="S34" s="339"/>
      <x:c r="T34" s="339"/>
      <x:c r="U34" s="339"/>
      <x:c r="V34" s="339"/>
      <x:c r="W34" s="339"/>
      <x:c r="X34" s="339"/>
      <x:c r="Y34" s="339"/>
      <x:c r="Z34" s="339"/>
    </x:row>
    <x:row r="35" ht="21" customHeight="1">
      <x:c r="A35" s="368" t="str">
        <x:v>Technology &amp; payment services</x:v>
      </x:c>
      <x:c r="B35" s="368" t="str">
        <x:v>Technology &amp; payment services</x:v>
      </x:c>
      <x:c r="C35" s="368" t="str">
        <x:v>Technology &amp; payment services</x:v>
      </x:c>
      <x:c r="D35" s="410" t="str">
        <x:v>Technology &amp; payment services</x:v>
      </x:c>
      <x:c r="E35" s="410" t="str">
        <x:v>Technology &amp; payment services</x:v>
      </x:c>
      <x:c r="F35" s="410" t="str">
        <x:v>Technology &amp; payment services</x:v>
      </x:c>
      <x:c r="G35" s="411" t="str">
        <x:v>Technology &amp; payment services</x:v>
      </x:c>
      <x:c r="H35" s="412" t="str">
        <x:v>Technology &amp; payment services</x:v>
      </x:c>
      <x:c r="I35" s="413" t="str">
        <x:v>Technology &amp; payment services</x:v>
      </x:c>
      <x:c r="J35" s="413" t="str">
        <x:v>Technology &amp; payment services</x:v>
      </x:c>
      <x:c r="K35" s="413" t="str">
        <x:v>Technology &amp; payment services</x:v>
      </x:c>
      <x:c r="L35" s="413" t="str">
        <x:v>Technology &amp; payment services</x:v>
      </x:c>
      <x:c r="M35" s="368" t="str">
        <x:v>Technology &amp; payment services</x:v>
      </x:c>
      <x:c r="N35" s="368" t="str">
        <x:v>Technology &amp; payment services</x:v>
      </x:c>
      <x:c r="O35" s="339"/>
      <x:c r="P35" s="339"/>
      <x:c r="Q35" s="339"/>
      <x:c r="R35" s="339"/>
      <x:c r="S35" s="339"/>
      <x:c r="T35" s="339"/>
      <x:c r="U35" s="339"/>
      <x:c r="V35" s="339"/>
      <x:c r="W35" s="339"/>
      <x:c r="X35" s="339"/>
      <x:c r="Y35" s="339"/>
      <x:c r="Z35" s="339"/>
    </x:row>
    <x:row r="36">
      <x:c r="A36" s="28" t="str">
        <x:v>Technology &amp; payment services</x:v>
      </x:c>
      <x:c r="B36" s="28" t="str">
        <x:v>Production platform and integrations</x:v>
      </x:c>
      <x:c r="C36" s="28" t="str">
        <x:v>17,500 / 6,000 / 4,500 professional hours × $200</x:v>
      </x:c>
      <x:c r="D36" s="32" t="n">
        <x:v>17500</x:v>
      </x:c>
      <x:c r="E36" s="32" t="n">
        <x:v>6000</x:v>
      </x:c>
      <x:c r="F36" s="32" t="n">
        <x:v>4500</x:v>
      </x:c>
      <x:c r="G36" s="414" t="n">
        <x:v>200</x:v>
      </x:c>
      <x:c r="H36" s="415" t="n">
        <x:v>0</x:v>
      </x:c>
      <x:c r="I36" s="416" t="n">
        <x:f>D36*G36</x:f>
        <x:v>3500000</x:v>
      </x:c>
      <x:c r="J36" s="416" t="n">
        <x:f>E36*G36*(1+H36)</x:f>
        <x:v>1200000</x:v>
      </x:c>
      <x:c r="K36" s="416" t="n">
        <x:f>F36*G36*(1+H36)^2</x:f>
        <x:v>900000</x:v>
      </x:c>
      <x:c r="L36" s="416" t="n">
        <x:f>SUM(I36:K36)</x:f>
        <x:v>5600000</x:v>
      </x:c>
      <x:c r="M36" s="35" t="str">
        <x:v>A04;S16;S18;S19</x:v>
      </x:c>
      <x:c r="N36" s="35" t="str">
        <x:v>Replace with architecture, build-vs-buy and competitive procurement.</x:v>
      </x:c>
      <x:c r="O36" s="339"/>
      <x:c r="P36" s="339"/>
      <x:c r="Q36" s="339"/>
      <x:c r="R36" s="339"/>
      <x:c r="S36" s="339"/>
      <x:c r="T36" s="339"/>
      <x:c r="U36" s="339"/>
      <x:c r="V36" s="339"/>
      <x:c r="W36" s="339"/>
      <x:c r="X36" s="339"/>
      <x:c r="Y36" s="339"/>
      <x:c r="Z36" s="339"/>
    </x:row>
    <x:row r="37">
      <x:c r="A37" s="28" t="str">
        <x:v>Technology &amp; payment services</x:v>
      </x:c>
      <x:c r="B37" s="28" t="str">
        <x:v>Cloud hosting, security operations and software licences</x:v>
      </x:c>
      <x:c r="C37" s="28" t="str">
        <x:v>Annual allowance; grows with production usage</x:v>
      </x:c>
      <x:c r="D37" s="32" t="n">
        <x:v>1</x:v>
      </x:c>
      <x:c r="E37" s="32" t="n">
        <x:v>1</x:v>
      </x:c>
      <x:c r="F37" s="32" t="n">
        <x:v>1</x:v>
      </x:c>
      <x:c r="G37" s="414" t="n">
        <x:v>900000</x:v>
      </x:c>
      <x:c r="H37" s="415" t="n">
        <x:v>0.1</x:v>
      </x:c>
      <x:c r="I37" s="416" t="n">
        <x:f>D37*G37</x:f>
        <x:v>900000</x:v>
      </x:c>
      <x:c r="J37" s="416" t="n">
        <x:f>E37*G37*(1+H37)</x:f>
        <x:v>990000.0000000001</x:v>
      </x:c>
      <x:c r="K37" s="416" t="n">
        <x:f>F37*G37*(1+H37)^2</x:f>
        <x:v>1089000.0000000002</x:v>
      </x:c>
      <x:c r="L37" s="416" t="n">
        <x:f>SUM(I37:K37)</x:f>
        <x:v>2979000</x:v>
      </x:c>
      <x:c r="M37" s="35" t="str">
        <x:v>A04;S19;S20</x:v>
      </x:c>
      <x:c r="N37" s="35" t="str">
        <x:v>Replace with vendor quotes and security classification.</x:v>
      </x:c>
      <x:c r="O37" s="339"/>
      <x:c r="P37" s="339"/>
      <x:c r="Q37" s="339"/>
      <x:c r="R37" s="339"/>
      <x:c r="S37" s="339"/>
      <x:c r="T37" s="339"/>
      <x:c r="U37" s="339"/>
      <x:c r="V37" s="339"/>
      <x:c r="W37" s="339"/>
      <x:c r="X37" s="339"/>
      <x:c r="Y37" s="339"/>
      <x:c r="Z37" s="339"/>
    </x:row>
    <x:row r="38">
      <x:c r="A38" s="28" t="str">
        <x:v>Technology &amp; payment services</x:v>
      </x:c>
      <x:c r="B38" s="28" t="str">
        <x:v>Immediate-payment and Learning Capital administration allowance</x:v>
      </x:c>
      <x:c r="C38" s="28" t="str">
        <x:v>Annual budgetary placeholder</x:v>
      </x:c>
      <x:c r="D38" s="32" t="n">
        <x:v>1</x:v>
      </x:c>
      <x:c r="E38" s="32" t="n">
        <x:v>1</x:v>
      </x:c>
      <x:c r="F38" s="32" t="n">
        <x:v>1</x:v>
      </x:c>
      <x:c r="G38" s="421" t="n">
        <x:v>600000</x:v>
      </x:c>
      <x:c r="H38" s="422" t="n">
        <x:v>0.08</x:v>
      </x:c>
      <x:c r="I38" s="423" t="n">
        <x:f>D38*G38</x:f>
        <x:v>600000</x:v>
      </x:c>
      <x:c r="J38" s="423" t="n">
        <x:f>E38*G38*(1+H38)</x:f>
        <x:v>648000</x:v>
      </x:c>
      <x:c r="K38" s="423" t="n">
        <x:f>F38*G38*(1+H38)^2</x:f>
        <x:v>699840.0000000001</x:v>
      </x:c>
      <x:c r="L38" s="423" t="n">
        <x:f>SUM(I38:K38)</x:f>
        <x:v>1947840</x:v>
      </x:c>
      <x:c r="M38" s="28" t="str">
        <x:v>A05;S18</x:v>
      </x:c>
      <x:c r="N38" s="28" t="str">
        <x:v>Formal inter-agency, provider and custodian estimates are mandatory.</x:v>
      </x:c>
      <x:c r="O38" s="339"/>
      <x:c r="P38" s="339"/>
      <x:c r="Q38" s="339"/>
      <x:c r="R38" s="339"/>
      <x:c r="S38" s="339"/>
      <x:c r="T38" s="339"/>
      <x:c r="U38" s="339"/>
      <x:c r="V38" s="339"/>
      <x:c r="W38" s="339"/>
      <x:c r="X38" s="339"/>
      <x:c r="Y38" s="339"/>
      <x:c r="Z38" s="339"/>
    </x:row>
    <x:row r="39">
      <x:c r="A39" s="373" t="str">
        <x:v>Technology &amp; payment services subtotal</x:v>
      </x:c>
      <x:c r="B39" s="373"/>
      <x:c r="C39" s="373"/>
      <x:c r="D39" s="417"/>
      <x:c r="E39" s="417"/>
      <x:c r="F39" s="417"/>
      <x:c r="G39" s="418"/>
      <x:c r="H39" s="419"/>
      <x:c r="I39" s="420" t="n">
        <x:f>SUM(I36:I38)</x:f>
        <x:v>5000000</x:v>
      </x:c>
      <x:c r="J39" s="420" t="n">
        <x:f>SUM(J36:J38)</x:f>
        <x:v>2838000</x:v>
      </x:c>
      <x:c r="K39" s="420" t="n">
        <x:f>SUM(K36:K38)</x:f>
        <x:v>2688840.0000000005</x:v>
      </x:c>
      <x:c r="L39" s="420" t="n">
        <x:f>SUM(L36:L38)</x:f>
        <x:v>10526840</x:v>
      </x:c>
      <x:c r="M39" s="373"/>
      <x:c r="N39" s="373"/>
      <x:c r="O39" s="339"/>
      <x:c r="P39" s="339"/>
      <x:c r="Q39" s="339"/>
      <x:c r="R39" s="339"/>
      <x:c r="S39" s="339"/>
      <x:c r="T39" s="339"/>
      <x:c r="U39" s="339"/>
      <x:c r="V39" s="339"/>
      <x:c r="W39" s="339"/>
      <x:c r="X39" s="339"/>
      <x:c r="Y39" s="339"/>
      <x:c r="Z39" s="339"/>
    </x:row>
    <x:row r="40">
      <x:c r="A40" s="28"/>
      <x:c r="B40" s="28"/>
      <x:c r="C40" s="28"/>
      <x:c r="D40" s="32"/>
      <x:c r="E40" s="32"/>
      <x:c r="F40" s="32"/>
      <x:c r="G40" s="421"/>
      <x:c r="H40" s="422"/>
      <x:c r="I40" s="423"/>
      <x:c r="J40" s="423"/>
      <x:c r="K40" s="423"/>
      <x:c r="L40" s="423"/>
      <x:c r="M40" s="28"/>
      <x:c r="N40" s="28"/>
      <x:c r="O40" s="339"/>
      <x:c r="P40" s="339"/>
      <x:c r="Q40" s="339"/>
      <x:c r="R40" s="339"/>
      <x:c r="S40" s="339"/>
      <x:c r="T40" s="339"/>
      <x:c r="U40" s="339"/>
      <x:c r="V40" s="339"/>
      <x:c r="W40" s="339"/>
      <x:c r="X40" s="339"/>
      <x:c r="Y40" s="339"/>
      <x:c r="Z40" s="339"/>
    </x:row>
    <x:row r="41" ht="21" customHeight="1">
      <x:c r="A41" s="368" t="str">
        <x:v>Independent evaluation</x:v>
      </x:c>
      <x:c r="B41" s="368" t="str">
        <x:v>Independent evaluation</x:v>
      </x:c>
      <x:c r="C41" s="368" t="str">
        <x:v>Independent evaluation</x:v>
      </x:c>
      <x:c r="D41" s="410" t="str">
        <x:v>Independent evaluation</x:v>
      </x:c>
      <x:c r="E41" s="410" t="str">
        <x:v>Independent evaluation</x:v>
      </x:c>
      <x:c r="F41" s="410" t="str">
        <x:v>Independent evaluation</x:v>
      </x:c>
      <x:c r="G41" s="411" t="str">
        <x:v>Independent evaluation</x:v>
      </x:c>
      <x:c r="H41" s="412" t="str">
        <x:v>Independent evaluation</x:v>
      </x:c>
      <x:c r="I41" s="413" t="str">
        <x:v>Independent evaluation</x:v>
      </x:c>
      <x:c r="J41" s="413" t="str">
        <x:v>Independent evaluation</x:v>
      </x:c>
      <x:c r="K41" s="413" t="str">
        <x:v>Independent evaluation</x:v>
      </x:c>
      <x:c r="L41" s="413" t="str">
        <x:v>Independent evaluation</x:v>
      </x:c>
      <x:c r="M41" s="368" t="str">
        <x:v>Independent evaluation</x:v>
      </x:c>
      <x:c r="N41" s="368" t="str">
        <x:v>Independent evaluation</x:v>
      </x:c>
      <x:c r="O41" s="339"/>
      <x:c r="P41" s="339"/>
      <x:c r="Q41" s="339"/>
      <x:c r="R41" s="339"/>
      <x:c r="S41" s="339"/>
      <x:c r="T41" s="339"/>
      <x:c r="U41" s="339"/>
      <x:c r="V41" s="339"/>
      <x:c r="W41" s="339"/>
      <x:c r="X41" s="339"/>
      <x:c r="Y41" s="339"/>
      <x:c r="Z41" s="339"/>
    </x:row>
    <x:row r="42">
      <x:c r="A42" s="28" t="str">
        <x:v>Independent evaluation</x:v>
      </x:c>
      <x:c r="B42" s="28" t="str">
        <x:v>Impact and implementation evaluation</x:v>
      </x:c>
      <x:c r="C42" s="28" t="str">
        <x:v>8,000 / 8,000 / 12,000 professional hours × $200</x:v>
      </x:c>
      <x:c r="D42" s="32" t="n">
        <x:v>8000</x:v>
      </x:c>
      <x:c r="E42" s="32" t="n">
        <x:v>8000</x:v>
      </x:c>
      <x:c r="F42" s="32" t="n">
        <x:v>12000</x:v>
      </x:c>
      <x:c r="G42" s="414" t="n">
        <x:v>200</x:v>
      </x:c>
      <x:c r="H42" s="415" t="n">
        <x:v>0</x:v>
      </x:c>
      <x:c r="I42" s="416" t="n">
        <x:f>D42*G42</x:f>
        <x:v>1600000</x:v>
      </x:c>
      <x:c r="J42" s="416" t="n">
        <x:f>E42*G42*(1+H42)</x:f>
        <x:v>1600000</x:v>
      </x:c>
      <x:c r="K42" s="416" t="n">
        <x:f>F42*G42*(1+H42)^2</x:f>
        <x:v>2400000</x:v>
      </x:c>
      <x:c r="L42" s="416" t="n">
        <x:f>SUM(I42:K42)</x:f>
        <x:v>5600000</x:v>
      </x:c>
      <x:c r="M42" s="35" t="str">
        <x:v>A01;S04;S05</x:v>
      </x:c>
      <x:c r="N42" s="35" t="str">
        <x:v>Independent procurement and power analysis required.</x:v>
      </x:c>
      <x:c r="O42" s="339"/>
      <x:c r="P42" s="339"/>
      <x:c r="Q42" s="339"/>
      <x:c r="R42" s="339"/>
      <x:c r="S42" s="339"/>
      <x:c r="T42" s="339"/>
      <x:c r="U42" s="339"/>
      <x:c r="V42" s="339"/>
      <x:c r="W42" s="339"/>
      <x:c r="X42" s="339"/>
      <x:c r="Y42" s="339"/>
      <x:c r="Z42" s="339"/>
    </x:row>
    <x:row r="43">
      <x:c r="A43" s="28" t="str">
        <x:v>Independent evaluation</x:v>
      </x:c>
      <x:c r="B43" s="28" t="str">
        <x:v>Surveys, data linkage and participant follow-up</x:v>
      </x:c>
      <x:c r="C43" s="28" t="str">
        <x:v>8,400 participants × approx. $71 / $71 / $95</x:v>
      </x:c>
      <x:c r="D43" s="32" t="n">
        <x:v>8400</x:v>
      </x:c>
      <x:c r="E43" s="32" t="n">
        <x:v>8400</x:v>
      </x:c>
      <x:c r="F43" s="32" t="n">
        <x:v>8400</x:v>
      </x:c>
      <x:c r="G43" s="421" t="n">
        <x:v>71.4286</x:v>
      </x:c>
      <x:c r="H43" s="422" t="n">
        <x:v>0</x:v>
      </x:c>
      <x:c r="I43" s="423" t="n">
        <x:f>D43*G43</x:f>
        <x:v>600000.24</x:v>
      </x:c>
      <x:c r="J43" s="423" t="n">
        <x:f>E43*G43*(1+H43)</x:f>
        <x:v>600000.24</x:v>
      </x:c>
      <x:c r="K43" s="423" t="n">
        <x:f>F43*G43*(1+H43)^2</x:f>
        <x:v>600000.24</x:v>
      </x:c>
      <x:c r="L43" s="423" t="n">
        <x:f>SUM(I43:K43)</x:f>
        <x:v>1800000.72</x:v>
      </x:c>
      <x:c r="M43" s="28" t="str">
        <x:v>A01;S15</x:v>
      </x:c>
      <x:c r="N43" s="28" t="str">
        <x:v>Includes treatment and comparison cohorts; retention risk must be priced.</x:v>
      </x:c>
      <x:c r="O43" s="339"/>
      <x:c r="P43" s="339"/>
      <x:c r="Q43" s="339"/>
      <x:c r="R43" s="339"/>
      <x:c r="S43" s="339"/>
      <x:c r="T43" s="339"/>
      <x:c r="U43" s="339"/>
      <x:c r="V43" s="339"/>
      <x:c r="W43" s="339"/>
      <x:c r="X43" s="339"/>
      <x:c r="Y43" s="339"/>
      <x:c r="Z43" s="339"/>
    </x:row>
    <x:row r="44">
      <x:c r="A44" s="28" t="str">
        <x:v>Independent evaluation</x:v>
      </x:c>
      <x:c r="B44" s="28" t="str">
        <x:v>Māori, Pacific and youth-led cultural process evaluation</x:v>
      </x:c>
      <x:c r="C44" s="28" t="str">
        <x:v>Annual independent allowance</x:v>
      </x:c>
      <x:c r="D44" s="32" t="n">
        <x:v>1</x:v>
      </x:c>
      <x:c r="E44" s="32" t="n">
        <x:v>1</x:v>
      </x:c>
      <x:c r="F44" s="32" t="n">
        <x:v>1</x:v>
      </x:c>
      <x:c r="G44" s="421" t="n">
        <x:v>350000</x:v>
      </x:c>
      <x:c r="H44" s="422" t="n">
        <x:v>0</x:v>
      </x:c>
      <x:c r="I44" s="423" t="n">
        <x:f>D44*G44</x:f>
        <x:v>350000</x:v>
      </x:c>
      <x:c r="J44" s="423" t="n">
        <x:f>E44*G44*(1+H44)</x:f>
        <x:v>350000</x:v>
      </x:c>
      <x:c r="K44" s="423" t="n">
        <x:f>F44*G44*(1+H44)^2</x:f>
        <x:v>350000</x:v>
      </x:c>
      <x:c r="L44" s="423" t="n">
        <x:f>SUM(I44:K44)</x:f>
        <x:v>1050000</x:v>
      </x:c>
      <x:c r="M44" s="28" t="str">
        <x:v>A02;S01</x:v>
      </x:c>
      <x:c r="N44" s="28" t="str">
        <x:v>Governance and evaluator independence must be protected.</x:v>
      </x:c>
      <x:c r="O44" s="339"/>
      <x:c r="P44" s="339"/>
      <x:c r="Q44" s="339"/>
      <x:c r="R44" s="339"/>
      <x:c r="S44" s="339"/>
      <x:c r="T44" s="339"/>
      <x:c r="U44" s="339"/>
      <x:c r="V44" s="339"/>
      <x:c r="W44" s="339"/>
      <x:c r="X44" s="339"/>
      <x:c r="Y44" s="339"/>
      <x:c r="Z44" s="339"/>
    </x:row>
    <x:row r="45">
      <x:c r="A45" s="373" t="str">
        <x:v>Independent evaluation subtotal</x:v>
      </x:c>
      <x:c r="B45" s="373"/>
      <x:c r="C45" s="373"/>
      <x:c r="D45" s="417"/>
      <x:c r="E45" s="417"/>
      <x:c r="F45" s="417"/>
      <x:c r="G45" s="418"/>
      <x:c r="H45" s="419"/>
      <x:c r="I45" s="420" t="n">
        <x:f>SUM(I42:I44)</x:f>
        <x:v>2550000.24</x:v>
      </x:c>
      <x:c r="J45" s="420" t="n">
        <x:f>SUM(J42:J44)</x:f>
        <x:v>2550000.24</x:v>
      </x:c>
      <x:c r="K45" s="420" t="n">
        <x:f>SUM(K42:K44)</x:f>
        <x:v>3350000.24</x:v>
      </x:c>
      <x:c r="L45" s="420" t="n">
        <x:f>SUM(L42:L44)</x:f>
        <x:v>8450000.719999999</x:v>
      </x:c>
      <x:c r="M45" s="373"/>
      <x:c r="N45" s="373"/>
      <x:c r="O45" s="339"/>
      <x:c r="P45" s="339"/>
      <x:c r="Q45" s="339"/>
      <x:c r="R45" s="339"/>
      <x:c r="S45" s="339"/>
      <x:c r="T45" s="339"/>
      <x:c r="U45" s="339"/>
      <x:c r="V45" s="339"/>
      <x:c r="W45" s="339"/>
      <x:c r="X45" s="339"/>
      <x:c r="Y45" s="339"/>
      <x:c r="Z45" s="339"/>
    </x:row>
    <x:row r="46">
      <x:c r="A46" s="28"/>
      <x:c r="B46" s="28"/>
      <x:c r="C46" s="28"/>
      <x:c r="D46" s="32"/>
      <x:c r="E46" s="32"/>
      <x:c r="F46" s="32"/>
      <x:c r="G46" s="421"/>
      <x:c r="H46" s="422"/>
      <x:c r="I46" s="423"/>
      <x:c r="J46" s="423"/>
      <x:c r="K46" s="423"/>
      <x:c r="L46" s="423"/>
      <x:c r="M46" s="28"/>
      <x:c r="N46" s="28"/>
      <x:c r="O46" s="339"/>
      <x:c r="P46" s="339"/>
      <x:c r="Q46" s="339"/>
      <x:c r="R46" s="339"/>
      <x:c r="S46" s="339"/>
      <x:c r="T46" s="339"/>
      <x:c r="U46" s="339"/>
      <x:c r="V46" s="339"/>
      <x:c r="W46" s="339"/>
      <x:c r="X46" s="339"/>
      <x:c r="Y46" s="339"/>
      <x:c r="Z46" s="339"/>
    </x:row>
    <x:row r="47" ht="21" customHeight="1">
      <x:c r="A47" s="368" t="str">
        <x:v>Governance, assurance &amp; reporting</x:v>
      </x:c>
      <x:c r="B47" s="368" t="str">
        <x:v>Governance, assurance &amp; reporting</x:v>
      </x:c>
      <x:c r="C47" s="368" t="str">
        <x:v>Governance, assurance &amp; reporting</x:v>
      </x:c>
      <x:c r="D47" s="410" t="str">
        <x:v>Governance, assurance &amp; reporting</x:v>
      </x:c>
      <x:c r="E47" s="410" t="str">
        <x:v>Governance, assurance &amp; reporting</x:v>
      </x:c>
      <x:c r="F47" s="410" t="str">
        <x:v>Governance, assurance &amp; reporting</x:v>
      </x:c>
      <x:c r="G47" s="411" t="str">
        <x:v>Governance, assurance &amp; reporting</x:v>
      </x:c>
      <x:c r="H47" s="412" t="str">
        <x:v>Governance, assurance &amp; reporting</x:v>
      </x:c>
      <x:c r="I47" s="413" t="str">
        <x:v>Governance, assurance &amp; reporting</x:v>
      </x:c>
      <x:c r="J47" s="413" t="str">
        <x:v>Governance, assurance &amp; reporting</x:v>
      </x:c>
      <x:c r="K47" s="413" t="str">
        <x:v>Governance, assurance &amp; reporting</x:v>
      </x:c>
      <x:c r="L47" s="413" t="str">
        <x:v>Governance, assurance &amp; reporting</x:v>
      </x:c>
      <x:c r="M47" s="368" t="str">
        <x:v>Governance, assurance &amp; reporting</x:v>
      </x:c>
      <x:c r="N47" s="368" t="str">
        <x:v>Governance, assurance &amp; reporting</x:v>
      </x:c>
      <x:c r="O47" s="339"/>
      <x:c r="P47" s="339"/>
      <x:c r="Q47" s="339"/>
      <x:c r="R47" s="339"/>
      <x:c r="S47" s="339"/>
      <x:c r="T47" s="339"/>
      <x:c r="U47" s="339"/>
      <x:c r="V47" s="339"/>
      <x:c r="W47" s="339"/>
      <x:c r="X47" s="339"/>
      <x:c r="Y47" s="339"/>
      <x:c r="Z47" s="339"/>
    </x:row>
    <x:row r="48">
      <x:c r="A48" s="28" t="str">
        <x:v>Governance, assurance &amp; reporting</x:v>
      </x:c>
      <x:c r="B48" s="28" t="str">
        <x:v>Board, advisory panels, travel and secretariat</x:v>
      </x:c>
      <x:c r="C48" s="28" t="str">
        <x:v>Cabinet-fee benchmark plus travel/admin allowance</x:v>
      </x:c>
      <x:c r="D48" s="32" t="n">
        <x:v>1</x:v>
      </x:c>
      <x:c r="E48" s="32" t="n">
        <x:v>1</x:v>
      </x:c>
      <x:c r="F48" s="32" t="n">
        <x:v>1</x:v>
      </x:c>
      <x:c r="G48" s="421" t="n">
        <x:v>250000</x:v>
      </x:c>
      <x:c r="H48" s="422" t="n">
        <x:v>0</x:v>
      </x:c>
      <x:c r="I48" s="423" t="n">
        <x:f>D48*G48</x:f>
        <x:v>250000</x:v>
      </x:c>
      <x:c r="J48" s="423" t="n">
        <x:f>E48*G48*(1+H48)</x:f>
        <x:v>250000</x:v>
      </x:c>
      <x:c r="K48" s="423" t="n">
        <x:f>F48*G48*(1+H48)^2</x:f>
        <x:v>250000</x:v>
      </x:c>
      <x:c r="L48" s="423" t="n">
        <x:f>SUM(I48:K48)</x:f>
        <x:v>750000</x:v>
      </x:c>
      <x:c r="M48" s="28" t="str">
        <x:v>S14</x:v>
      </x:c>
      <x:c r="N48" s="28" t="str">
        <x:v>Confirm board classification and annual workload.</x:v>
      </x:c>
      <x:c r="O48" s="339"/>
      <x:c r="P48" s="339"/>
      <x:c r="Q48" s="339"/>
      <x:c r="R48" s="339"/>
      <x:c r="S48" s="339"/>
      <x:c r="T48" s="339"/>
      <x:c r="U48" s="339"/>
      <x:c r="V48" s="339"/>
      <x:c r="W48" s="339"/>
      <x:c r="X48" s="339"/>
      <x:c r="Y48" s="339"/>
      <x:c r="Z48" s="339"/>
    </x:row>
    <x:row r="49">
      <x:c r="A49" s="28" t="str">
        <x:v>Governance, assurance &amp; reporting</x:v>
      </x:c>
      <x:c r="B49" s="28" t="str">
        <x:v>Ongoing iwi, Pacific, youth and whānau co-design</x:v>
      </x:c>
      <x:c r="C49" s="28" t="str">
        <x:v>Annual partner-led allowance</x:v>
      </x:c>
      <x:c r="D49" s="32" t="n">
        <x:v>1</x:v>
      </x:c>
      <x:c r="E49" s="32" t="n">
        <x:v>1</x:v>
      </x:c>
      <x:c r="F49" s="32" t="n">
        <x:v>1</x:v>
      </x:c>
      <x:c r="G49" s="421" t="n">
        <x:v>550000</x:v>
      </x:c>
      <x:c r="H49" s="422" t="n">
        <x:v>0</x:v>
      </x:c>
      <x:c r="I49" s="423" t="n">
        <x:f>D49*G49</x:f>
        <x:v>550000</x:v>
      </x:c>
      <x:c r="J49" s="423" t="n">
        <x:f>E49*G49*(1+H49)</x:f>
        <x:v>550000</x:v>
      </x:c>
      <x:c r="K49" s="423" t="n">
        <x:f>F49*G49*(1+H49)^2</x:f>
        <x:v>550000</x:v>
      </x:c>
      <x:c r="L49" s="423" t="n">
        <x:f>SUM(I49:K49)</x:f>
        <x:v>1650000</x:v>
      </x:c>
      <x:c r="M49" s="28" t="str">
        <x:v>A02;S01</x:v>
      </x:c>
      <x:c r="N49" s="28" t="str">
        <x:v>Obtain partner budgets; do not treat consultation as unpaid.</x:v>
      </x:c>
      <x:c r="O49" s="339"/>
      <x:c r="P49" s="339"/>
      <x:c r="Q49" s="339"/>
      <x:c r="R49" s="339"/>
      <x:c r="S49" s="339"/>
      <x:c r="T49" s="339"/>
      <x:c r="U49" s="339"/>
      <x:c r="V49" s="339"/>
      <x:c r="W49" s="339"/>
      <x:c r="X49" s="339"/>
      <x:c r="Y49" s="339"/>
      <x:c r="Z49" s="339"/>
    </x:row>
    <x:row r="50">
      <x:c r="A50" s="28" t="str">
        <x:v>Governance, assurance &amp; reporting</x:v>
      </x:c>
      <x:c r="B50" s="28" t="str">
        <x:v>Legal, privacy, audit, security assurance and insurance</x:v>
      </x:c>
      <x:c r="C50" s="28" t="str">
        <x:v>3,000 professional hours × $200</x:v>
      </x:c>
      <x:c r="D50" s="32" t="n">
        <x:v>3000</x:v>
      </x:c>
      <x:c r="E50" s="32" t="n">
        <x:v>3000</x:v>
      </x:c>
      <x:c r="F50" s="32" t="n">
        <x:v>3000</x:v>
      </x:c>
      <x:c r="G50" s="421" t="n">
        <x:v>200</x:v>
      </x:c>
      <x:c r="H50" s="422" t="n">
        <x:v>0</x:v>
      </x:c>
      <x:c r="I50" s="423" t="n">
        <x:f>D50*G50</x:f>
        <x:v>600000</x:v>
      </x:c>
      <x:c r="J50" s="423" t="n">
        <x:f>E50*G50*(1+H50)</x:f>
        <x:v>600000</x:v>
      </x:c>
      <x:c r="K50" s="423" t="n">
        <x:f>F50*G50*(1+H50)^2</x:f>
        <x:v>600000</x:v>
      </x:c>
      <x:c r="L50" s="423" t="n">
        <x:f>SUM(I50:K50)</x:f>
        <x:v>1800000</x:v>
      </x:c>
      <x:c r="M50" s="28" t="str">
        <x:v>A01;S15;S16</x:v>
      </x:c>
      <x:c r="N50" s="28" t="str">
        <x:v>Scope depends on data sharing and payment mechanism.</x:v>
      </x:c>
      <x:c r="O50" s="339"/>
      <x:c r="P50" s="339"/>
      <x:c r="Q50" s="339"/>
      <x:c r="R50" s="339"/>
      <x:c r="S50" s="339"/>
      <x:c r="T50" s="339"/>
      <x:c r="U50" s="339"/>
      <x:c r="V50" s="339"/>
      <x:c r="W50" s="339"/>
      <x:c r="X50" s="339"/>
      <x:c r="Y50" s="339"/>
      <x:c r="Z50" s="339"/>
    </x:row>
    <x:row r="51">
      <x:c r="A51" s="28" t="str">
        <x:v>Governance, assurance &amp; reporting</x:v>
      </x:c>
      <x:c r="B51" s="28" t="str">
        <x:v>Public reporting, communications and parliamentary material</x:v>
      </x:c>
      <x:c r="C51" s="28" t="str">
        <x:v>1,500 professional hours × $200</x:v>
      </x:c>
      <x:c r="D51" s="32" t="n">
        <x:v>1500</x:v>
      </x:c>
      <x:c r="E51" s="32" t="n">
        <x:v>1500</x:v>
      </x:c>
      <x:c r="F51" s="32" t="n">
        <x:v>1500</x:v>
      </x:c>
      <x:c r="G51" s="421" t="n">
        <x:v>200</x:v>
      </x:c>
      <x:c r="H51" s="422" t="n">
        <x:v>0</x:v>
      </x:c>
      <x:c r="I51" s="423" t="n">
        <x:f>D51*G51</x:f>
        <x:v>300000</x:v>
      </x:c>
      <x:c r="J51" s="423" t="n">
        <x:f>E51*G51*(1+H51)</x:f>
        <x:v>300000</x:v>
      </x:c>
      <x:c r="K51" s="423" t="n">
        <x:f>F51*G51*(1+H51)^2</x:f>
        <x:v>300000</x:v>
      </x:c>
      <x:c r="L51" s="423" t="n">
        <x:f>SUM(I51:K51)</x:f>
        <x:v>900000</x:v>
      </x:c>
      <x:c r="M51" s="28" t="str">
        <x:v>A01;S07</x:v>
      </x:c>
      <x:c r="N51" s="28" t="str">
        <x:v>Includes annual public reporting and final report-back.</x:v>
      </x:c>
      <x:c r="O51" s="339"/>
      <x:c r="P51" s="339"/>
      <x:c r="Q51" s="339"/>
      <x:c r="R51" s="339"/>
      <x:c r="S51" s="339"/>
      <x:c r="T51" s="339"/>
      <x:c r="U51" s="339"/>
      <x:c r="V51" s="339"/>
      <x:c r="W51" s="339"/>
      <x:c r="X51" s="339"/>
      <x:c r="Y51" s="339"/>
      <x:c r="Z51" s="339"/>
    </x:row>
    <x:row r="52">
      <x:c r="A52" s="373" t="str">
        <x:v>Governance, assurance &amp; reporting subtotal</x:v>
      </x:c>
      <x:c r="B52" s="373"/>
      <x:c r="C52" s="373"/>
      <x:c r="D52" s="417"/>
      <x:c r="E52" s="417"/>
      <x:c r="F52" s="417"/>
      <x:c r="G52" s="418"/>
      <x:c r="H52" s="419"/>
      <x:c r="I52" s="420" t="n">
        <x:f>SUM(I48:I51)</x:f>
        <x:v>1700000</x:v>
      </x:c>
      <x:c r="J52" s="420" t="n">
        <x:f>SUM(J48:J51)</x:f>
        <x:v>1700000</x:v>
      </x:c>
      <x:c r="K52" s="420" t="n">
        <x:f>SUM(K48:K51)</x:f>
        <x:v>1700000</x:v>
      </x:c>
      <x:c r="L52" s="420" t="n">
        <x:f>SUM(L48:L51)</x:f>
        <x:v>5100000</x:v>
      </x:c>
      <x:c r="M52" s="373"/>
      <x:c r="N52" s="373"/>
      <x:c r="O52" s="339"/>
      <x:c r="P52" s="339"/>
      <x:c r="Q52" s="339"/>
      <x:c r="R52" s="339"/>
      <x:c r="S52" s="339"/>
      <x:c r="T52" s="339"/>
      <x:c r="U52" s="339"/>
      <x:c r="V52" s="339"/>
      <x:c r="W52" s="339"/>
      <x:c r="X52" s="339"/>
      <x:c r="Y52" s="339"/>
      <x:c r="Z52" s="339"/>
    </x:row>
    <x:row r="53">
      <x:c r="A53" s="28"/>
      <x:c r="B53" s="28"/>
      <x:c r="C53" s="28"/>
      <x:c r="D53" s="32"/>
      <x:c r="E53" s="32"/>
      <x:c r="F53" s="32"/>
      <x:c r="G53" s="421"/>
      <x:c r="H53" s="422"/>
      <x:c r="I53" s="423"/>
      <x:c r="J53" s="423"/>
      <x:c r="K53" s="423"/>
      <x:c r="L53" s="423"/>
      <x:c r="M53" s="28"/>
      <x:c r="N53" s="28"/>
      <x:c r="O53" s="339"/>
      <x:c r="P53" s="339"/>
      <x:c r="Q53" s="339"/>
      <x:c r="R53" s="339"/>
      <x:c r="S53" s="339"/>
      <x:c r="T53" s="339"/>
      <x:c r="U53" s="339"/>
      <x:c r="V53" s="339"/>
      <x:c r="W53" s="339"/>
      <x:c r="X53" s="339"/>
      <x:c r="Y53" s="339"/>
      <x:c r="Z53" s="339"/>
    </x:row>
    <x:row r="54">
      <x:c r="A54" s="379" t="str">
        <x:v>Non-stipend subtotal before contingency</x:v>
      </x:c>
      <x:c r="B54" s="379"/>
      <x:c r="C54" s="379"/>
      <x:c r="D54" s="424"/>
      <x:c r="E54" s="424"/>
      <x:c r="F54" s="424"/>
      <x:c r="G54" s="425"/>
      <x:c r="H54" s="426"/>
      <x:c r="I54" s="427" t="n">
        <x:f>I25+I33+I39+I45+I52</x:f>
        <x:v>15827932.74</x:v>
      </x:c>
      <x:c r="J54" s="427" t="n">
        <x:f>J25+J33+J39+J45+J52</x:f>
        <x:v>13787296.49</x:v>
      </x:c>
      <x:c r="K54" s="427" t="n">
        <x:f>K25+K33+K39+K45+K52</x:f>
        <x:v>14562522.115</x:v>
      </x:c>
      <x:c r="L54" s="427" t="n">
        <x:f>L25+L33+L39+L45+L52</x:f>
        <x:v>44177751.345</x:v>
      </x:c>
      <x:c r="M54" s="379"/>
      <x:c r="N54" s="379"/>
      <x:c r="O54" s="339"/>
      <x:c r="P54" s="339"/>
      <x:c r="Q54" s="339"/>
      <x:c r="R54" s="339"/>
      <x:c r="S54" s="339"/>
      <x:c r="T54" s="339"/>
      <x:c r="U54" s="339"/>
      <x:c r="V54" s="339"/>
      <x:c r="W54" s="339"/>
      <x:c r="X54" s="339"/>
      <x:c r="Y54" s="339"/>
      <x:c r="Z54" s="339"/>
    </x:row>
    <x:row r="55">
      <x:c r="A55" s="373" t="str">
        <x:v>Contingency on non-stipend costs</x:v>
      </x:c>
      <x:c r="B55" s="373"/>
      <x:c r="C55" s="373"/>
      <x:c r="D55" s="417"/>
      <x:c r="E55" s="417"/>
      <x:c r="F55" s="417"/>
      <x:c r="G55" s="418"/>
      <x:c r="H55" s="419"/>
      <x:c r="I55" s="420" t="n">
        <x:f>I54*Assumptions!$E$12</x:f>
        <x:v>1978491.5925</x:v>
      </x:c>
      <x:c r="J55" s="420" t="n">
        <x:f>J54*Assumptions!$E$12</x:f>
        <x:v>1723412.06125</x:v>
      </x:c>
      <x:c r="K55" s="420" t="n">
        <x:f>K54*Assumptions!$E$12</x:f>
        <x:v>1820315.264375</x:v>
      </x:c>
      <x:c r="L55" s="420" t="n">
        <x:f>SUM(I55:K55)</x:f>
        <x:v>5522218.918125</x:v>
      </x:c>
      <x:c r="M55" s="373"/>
      <x:c r="N55" s="373"/>
      <x:c r="O55" s="339"/>
      <x:c r="P55" s="339"/>
      <x:c r="Q55" s="339"/>
      <x:c r="R55" s="339"/>
      <x:c r="S55" s="339"/>
      <x:c r="T55" s="339"/>
      <x:c r="U55" s="339"/>
      <x:c r="V55" s="339"/>
      <x:c r="W55" s="339"/>
      <x:c r="X55" s="339"/>
      <x:c r="Y55" s="339"/>
      <x:c r="Z55" s="339"/>
    </x:row>
    <x:row r="56">
      <x:c r="A56" s="383" t="str">
        <x:v>STAGE 1 — TOTAL THREE-YEAR PILOT COST</x:v>
      </x:c>
      <x:c r="B56" s="383"/>
      <x:c r="C56" s="383"/>
      <x:c r="D56" s="428"/>
      <x:c r="E56" s="428"/>
      <x:c r="F56" s="428"/>
      <x:c r="G56" s="429"/>
      <x:c r="H56" s="430"/>
      <x:c r="I56" s="431" t="n">
        <x:f>I16+I54+I55</x:f>
        <x:v>31666424.332500003</x:v>
      </x:c>
      <x:c r="J56" s="431" t="n">
        <x:f>J16+J54+J55</x:f>
        <x:v>31890708.551250003</x:v>
      </x:c>
      <x:c r="K56" s="431" t="n">
        <x:f>K16+K54+K55</x:f>
        <x:v>34022837.379375</x:v>
      </x:c>
      <x:c r="L56" s="431" t="n">
        <x:f>SUM(I56:K56)</x:f>
        <x:v>97579970.263125</x:v>
      </x:c>
      <x:c r="M56" s="383"/>
      <x:c r="N56" s="383"/>
      <x:c r="O56" s="339"/>
      <x:c r="P56" s="339"/>
      <x:c r="Q56" s="339"/>
      <x:c r="R56" s="339"/>
      <x:c r="S56" s="339"/>
      <x:c r="T56" s="339"/>
      <x:c r="U56" s="339"/>
      <x:c r="V56" s="339"/>
      <x:c r="W56" s="339"/>
      <x:c r="X56" s="339"/>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339"/>
      <x:c r="V57" s="339"/>
      <x:c r="W57" s="339"/>
      <x:c r="X57" s="339"/>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339"/>
      <x:c r="V58" s="339"/>
      <x:c r="W58" s="339"/>
      <x:c r="X58" s="339"/>
      <x:c r="Y58" s="339"/>
      <x:c r="Z58" s="339"/>
    </x:row>
    <x:row r="59" ht="23" customHeight="1">
      <x:c r="A59" s="905" t="str">
        <x:v>Pilot economic outcome scorecard — no effect is assumed before independent evaluation</x:v>
      </x:c>
      <x:c r="B59" s="905"/>
      <x:c r="C59" s="905"/>
      <x:c r="D59" s="905"/>
      <x:c r="E59" s="905"/>
      <x:c r="F59" s="905"/>
      <x:c r="G59" s="905"/>
      <x:c r="H59" s="905"/>
      <x:c r="I59" s="905"/>
      <x:c r="J59" s="905"/>
      <x:c r="K59" s="905"/>
      <x:c r="L59" s="905"/>
      <x:c r="M59" s="905"/>
      <x:c r="N59" s="905"/>
      <x:c r="O59" s="339"/>
      <x:c r="P59" s="339"/>
      <x:c r="Q59" s="339"/>
      <x:c r="R59" s="339"/>
      <x:c r="S59" s="339"/>
      <x:c r="T59" s="339"/>
      <x:c r="U59" s="339"/>
      <x:c r="V59" s="339"/>
      <x:c r="W59" s="339"/>
      <x:c r="X59" s="339"/>
      <x:c r="Y59" s="339"/>
      <x:c r="Z59" s="339"/>
    </x:row>
    <x:row r="60" ht="30" customHeight="1">
      <x:c r="A60" s="909" t="str">
        <x:v>Outcome family</x:v>
      </x:c>
      <x:c r="B60" s="909" t="str">
        <x:v>Pilot measure</x:v>
      </x:c>
      <x:c r="C60" s="909" t="str">
        <x:v>Counterfactual</x:v>
      </x:c>
      <x:c r="D60" s="909" t="str">
        <x:v>Causal estimator</x:v>
      </x:c>
      <x:c r="E60" s="909" t="str">
        <x:v>Timing</x:v>
      </x:c>
      <x:c r="F60" s="909" t="str">
        <x:v>Cost-per-outcome output</x:v>
      </x:c>
      <x:c r="G60" s="909" t="str">
        <x:v>Equity cut</x:v>
      </x:c>
      <x:c r="H60" s="909" t="str">
        <x:v>Workload / harm measure</x:v>
      </x:c>
      <x:c r="I60" s="909" t="str">
        <x:v>Long-run linkage</x:v>
      </x:c>
      <x:c r="J60" s="909" t="str">
        <x:v>Decision threshold</x:v>
      </x:c>
      <x:c r="K60" s="909" t="str">
        <x:v>Current status</x:v>
      </x:c>
      <x:c r="L60" s="909" t="str">
        <x:v>Owner</x:v>
      </x:c>
      <x:c r="M60" s="909" t="str">
        <x:v>Source ID</x:v>
      </x:c>
      <x:c r="N60" s="909" t="str">
        <x:v>Interpretation</x:v>
      </x:c>
      <x:c r="O60" s="339"/>
      <x:c r="P60" s="339"/>
      <x:c r="Q60" s="339"/>
      <x:c r="R60" s="339"/>
      <x:c r="S60" s="339"/>
      <x:c r="T60" s="339"/>
      <x:c r="U60" s="339"/>
      <x:c r="V60" s="339"/>
      <x:c r="W60" s="339"/>
      <x:c r="X60" s="339"/>
      <x:c r="Y60" s="339"/>
      <x:c r="Z60" s="339"/>
    </x:row>
    <x:row r="61" ht="44" customHeight="1">
      <x:c r="A61" s="28" t="str">
        <x:v>Whole-cohort capability</x:v>
      </x:c>
      <x:c r="B61" s="28" t="str">
        <x:v>Attendance, Level 2, Level 3 and engagement</x:v>
      </x:c>
      <x:c r="C61" s="28" t="str">
        <x:v>Matched / randomised comparison</x:v>
      </x:c>
      <x:c r="D61" s="28" t="str">
        <x:v>Pre-registered difference-in-differences or randomised design</x:v>
      </x:c>
      <x:c r="E61" s="28" t="str">
        <x:v>During school</x:v>
      </x:c>
      <x:c r="F61" s="28" t="str">
        <x:v>Cost per additional attendee and qualification</x:v>
      </x:c>
      <x:c r="G61" s="28" t="str">
        <x:v>Māori, Pacific, disability, deprivation, gender</x:v>
      </x:c>
      <x:c r="H61" s="28" t="str">
        <x:v>Teacher and coordinator hours; gaming</x:v>
      </x:c>
      <x:c r="I61" s="28" t="str">
        <x:v>Education linkage</x:v>
      </x:c>
      <x:c r="J61" s="28" t="str">
        <x:v>Stage-Gate Tests</x:v>
      </x:c>
      <x:c r="K61" s="994" t="str">
        <x:v>NOT TESTED</x:v>
      </x:c>
      <x:c r="L61" s="28" t="str">
        <x:v>Independent evaluator</x:v>
      </x:c>
      <x:c r="M61" s="28" t="str">
        <x:v>S35–S37;A18</x:v>
      </x:c>
      <x:c r="N61" s="28" t="str">
        <x:v>Mechanism and early outcome</x:v>
      </x:c>
      <x:c r="O61" s="339"/>
      <x:c r="P61" s="339"/>
      <x:c r="Q61" s="339"/>
      <x:c r="R61" s="339"/>
      <x:c r="S61" s="339"/>
      <x:c r="T61" s="339"/>
      <x:c r="U61" s="339"/>
      <x:c r="V61" s="339"/>
      <x:c r="W61" s="339"/>
      <x:c r="X61" s="339"/>
      <x:c r="Y61" s="339"/>
      <x:c r="Z61" s="339"/>
    </x:row>
    <x:row r="62" ht="44" customHeight="1">
      <x:c r="A62" s="28" t="str">
        <x:v>Pathway transition</x:v>
      </x:c>
      <x:c r="B62" s="28" t="str">
        <x:v>Tertiary, vocational, apprenticeship and employment entry</x:v>
      </x:c>
      <x:c r="C62" s="28" t="str">
        <x:v>Comparison cohort</x:v>
      </x:c>
      <x:c r="D62" s="28" t="str">
        <x:v>Pre-registered causal model</x:v>
      </x:c>
      <x:c r="E62" s="28" t="str">
        <x:v>Years 1–4 after school</x:v>
      </x:c>
      <x:c r="F62" s="28" t="str">
        <x:v>Cost per successful transition</x:v>
      </x:c>
      <x:c r="G62" s="28" t="str">
        <x:v>Priority-group transition effect</x:v>
      </x:c>
      <x:c r="H62" s="28" t="str">
        <x:v>Provider capacity and regional mismatch</x:v>
      </x:c>
      <x:c r="I62" s="28" t="str">
        <x:v>Education / employment linkage</x:v>
      </x:c>
      <x:c r="J62" s="28" t="str">
        <x:v>Stage-Gate Tests</x:v>
      </x:c>
      <x:c r="K62" s="994" t="str">
        <x:v>NOT TESTED</x:v>
      </x:c>
      <x:c r="L62" s="28" t="str">
        <x:v>Independent evaluator</x:v>
      </x:c>
      <x:c r="M62" s="28" t="str">
        <x:v>S38–S40</x:v>
      </x:c>
      <x:c r="N62" s="28" t="str">
        <x:v>Entry is not completion</x:v>
      </x:c>
      <x:c r="O62" s="339"/>
      <x:c r="P62" s="339"/>
      <x:c r="Q62" s="339"/>
      <x:c r="R62" s="339"/>
      <x:c r="S62" s="339"/>
      <x:c r="T62" s="339"/>
      <x:c r="U62" s="339"/>
      <x:c r="V62" s="339"/>
      <x:c r="W62" s="339"/>
      <x:c r="X62" s="339"/>
      <x:c r="Y62" s="339"/>
      <x:c r="Z62" s="339"/>
    </x:row>
    <x:row r="63" ht="44" customHeight="1">
      <x:c r="A63" s="28" t="str">
        <x:v>Completion and continuity</x:v>
      </x:c>
      <x:c r="B63" s="28" t="str">
        <x:v>Qualification completion and sustained employment</x:v>
      </x:c>
      <x:c r="C63" s="28" t="str">
        <x:v>Comparison cohort</x:v>
      </x:c>
      <x:c r="D63" s="28" t="str">
        <x:v>Linked longitudinal outcome model</x:v>
      </x:c>
      <x:c r="E63" s="28" t="str">
        <x:v>Years 4–10</x:v>
      </x:c>
      <x:c r="F63" s="28" t="str">
        <x:v>Cost per completion</x:v>
      </x:c>
      <x:c r="G63" s="28" t="str">
        <x:v>Priority-group completion effect</x:v>
      </x:c>
      <x:c r="H63" s="28" t="str">
        <x:v>Occupation oversupply and wage effects</x:v>
      </x:c>
      <x:c r="I63" s="28" t="str">
        <x:v>Education / IR / MSD linkage</x:v>
      </x:c>
      <x:c r="J63" s="28" t="str">
        <x:v>Stage-Gate Tests</x:v>
      </x:c>
      <x:c r="K63" s="994" t="str">
        <x:v>NOT TESTED</x:v>
      </x:c>
      <x:c r="L63" s="28" t="str">
        <x:v>Independent evaluator</x:v>
      </x:c>
      <x:c r="M63" s="28" t="str">
        <x:v>S38–S45</x:v>
      </x:c>
      <x:c r="N63" s="28" t="str">
        <x:v>Core long-run evidence</x:v>
      </x:c>
      <x:c r="O63" s="339"/>
      <x:c r="P63" s="339"/>
      <x:c r="Q63" s="339"/>
      <x:c r="R63" s="339"/>
      <x:c r="S63" s="339"/>
      <x:c r="T63" s="339"/>
      <x:c r="U63" s="339"/>
      <x:c r="V63" s="339"/>
      <x:c r="W63" s="339"/>
      <x:c r="X63" s="339"/>
      <x:c r="Y63" s="339"/>
      <x:c r="Z63" s="339"/>
    </x:row>
    <x:row r="64" ht="44" customHeight="1">
      <x:c r="A64" s="28" t="str">
        <x:v>Earnings and fiscal effects</x:v>
      </x:c>
      <x:c r="B64" s="28" t="str">
        <x:v>Real earnings, tax, ACC, benefits and loan displacement</x:v>
      </x:c>
      <x:c r="C64" s="28" t="str">
        <x:v>Comparison cohort</x:v>
      </x:c>
      <x:c r="D64" s="28" t="str">
        <x:v>Linked-data earnings and fiscal model</x:v>
      </x:c>
      <x:c r="E64" s="28" t="str">
        <x:v>Years 3–15+</x:v>
      </x:c>
      <x:c r="F64" s="28" t="str">
        <x:v>PV, BCR and fiscal coverage</x:v>
      </x:c>
      <x:c r="G64" s="28" t="str">
        <x:v>Distribution of gains and losses</x:v>
      </x:c>
      <x:c r="H64" s="28" t="str">
        <x:v>Migration, substitution and automation</x:v>
      </x:c>
      <x:c r="I64" s="28" t="str">
        <x:v>IR / MSD / Student Loan data</x:v>
      </x:c>
      <x:c r="J64" s="28" t="str">
        <x:v>Stage-Gate Tests</x:v>
      </x:c>
      <x:c r="K64" s="994" t="str">
        <x:v>NOT TESTED</x:v>
      </x:c>
      <x:c r="L64" s="28" t="str">
        <x:v>Treasury / evaluator</x:v>
      </x:c>
      <x:c r="M64" s="28" t="str">
        <x:v>S24;S34;S42;S43</x:v>
      </x:c>
      <x:c r="N64" s="28" t="str">
        <x:v>No gross earnings counted as Crown saving</x:v>
      </x:c>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339"/>
      <x:c r="V66" s="339"/>
      <x:c r="W66" s="339"/>
      <x:c r="X66" s="339"/>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339"/>
      <x:c r="V67" s="339"/>
      <x:c r="W67" s="339"/>
      <x:c r="X67" s="339"/>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339"/>
      <x:c r="V68" s="339"/>
      <x:c r="W68" s="339"/>
      <x:c r="X68" s="339"/>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N1"/>
    <x:mergeCell ref="A2:N2"/>
    <x:mergeCell ref="H4:N4"/>
    <x:mergeCell ref="A13:N13"/>
    <x:mergeCell ref="A17:N17"/>
    <x:mergeCell ref="A25:H25"/>
    <x:mergeCell ref="M25:N25"/>
    <x:mergeCell ref="A27:N27"/>
    <x:mergeCell ref="A33:H33"/>
    <x:mergeCell ref="M33:N33"/>
    <x:mergeCell ref="A35:N35"/>
    <x:mergeCell ref="A39:H39"/>
    <x:mergeCell ref="M39:N39"/>
    <x:mergeCell ref="A41:N41"/>
    <x:mergeCell ref="A45:H45"/>
    <x:mergeCell ref="M45:N45"/>
    <x:mergeCell ref="A47:N47"/>
    <x:mergeCell ref="A52:H52"/>
    <x:mergeCell ref="M52:N52"/>
    <x:mergeCell ref="A54:H54"/>
    <x:mergeCell ref="M54:N54"/>
    <x:mergeCell ref="A55:H55"/>
    <x:mergeCell ref="M55:N55"/>
    <x:mergeCell ref="A56:H56"/>
    <x:mergeCell ref="M56:N56"/>
    <x:mergeCell ref="A8:N8"/>
    <x:mergeCell ref="A59:N59"/>
  </x:mergeCells>
  <x:pageMargins left="0.7" right="0.7" top="0.75" bottom="0.75" header="0.3" footer="0.3"/>
</x:worksheet>
</file>

<file path=xl/worksheets/sheet11.xml><?xml version="1.0" encoding="utf-8"?>
<x:worksheet xmlns:x="http://schemas.openxmlformats.org/spreadsheetml/2006/main">
  <x:sheetFormatPr defaultRowHeight="15"/>
  <x:cols>
    <x:col min="1" max="1" width="24" hidden="0" customWidth="1"/>
    <x:col min="2" max="2" width="35" hidden="0" customWidth="1"/>
    <x:col min="3" max="3" width="44" hidden="0" customWidth="1"/>
    <x:col min="4" max="4" width="14" hidden="0" customWidth="1"/>
    <x:col min="5" max="5" width="16" hidden="0" customWidth="1"/>
    <x:col min="6" max="6" width="16" hidden="0" customWidth="1"/>
    <x:col min="7" max="7" width="16" hidden="0" customWidth="1"/>
    <x:col min="8" max="8" width="16" hidden="0" customWidth="1"/>
    <x:col min="9" max="9" width="16" hidden="0" customWidth="1"/>
    <x:col min="10" max="10" width="17" hidden="0" customWidth="1"/>
    <x:col min="11" max="11" width="17" hidden="0" customWidth="1"/>
    <x:col min="12" max="12" width="14" hidden="0" customWidth="1"/>
    <x:col min="13" max="13" width="24" hidden="0" customWidth="1"/>
    <x:col min="14" max="14" width="38" hidden="0" customWidth="1"/>
  </x:cols>
  <x:sheetData>
    <x:row r="1" ht="30" customHeight="1">
      <x:c r="A1" s="685" t="str">
        <x:v>Stage 2 — Conditional Nationwide Rollout</x:v>
      </x:c>
      <x:c r="B1" s="685" t="str">
        <x:v>Stage 2 — Conditional Nationwide Rollout</x:v>
      </x:c>
      <x:c r="C1" s="685" t="str">
        <x:v>Stage 2 — Conditional Nationwide Rollout</x:v>
      </x:c>
      <x:c r="D1" s="685" t="str">
        <x:v>Stage 2 — Conditional Nationwide Rollout</x:v>
      </x:c>
      <x:c r="E1" s="685" t="str">
        <x:v>Stage 2 — Conditional Nationwide Rollout</x:v>
      </x:c>
      <x:c r="F1" s="685" t="str">
        <x:v>Stage 2 — Conditional Nationwide Rollout</x:v>
      </x:c>
      <x:c r="G1" s="685" t="str">
        <x:v>Stage 2 — Conditional Nationwide Rollout</x:v>
      </x:c>
      <x:c r="H1" s="685" t="str">
        <x:v>Stage 2 — Conditional Nationwide Rollout</x:v>
      </x:c>
      <x:c r="I1" s="685" t="str">
        <x:v>Stage 2 — Conditional Nationwide Rollout</x:v>
      </x:c>
      <x:c r="J1" s="685" t="str">
        <x:v>Stage 2 — Conditional Nationwide Rollout</x:v>
      </x:c>
      <x:c r="K1" s="685" t="str">
        <x:v>Stage 2 — Conditional Nationwide Rollout</x:v>
      </x:c>
      <x:c r="L1" s="685" t="str">
        <x:v>Stage 2 — Conditional Nationwide Rollout</x:v>
      </x:c>
      <x:c r="M1" s="685" t="str">
        <x:v>Stage 2 — Conditional Nationwide Rollout</x:v>
      </x:c>
      <x:c r="N1" s="685" t="str">
        <x:v>Stage 2 — Conditional Nationwide Rollout</x:v>
      </x:c>
      <x:c r="O1" s="339"/>
      <x:c r="P1" s="339"/>
      <x:c r="Q1" s="339"/>
      <x:c r="R1" s="339"/>
      <x:c r="S1" s="339"/>
      <x:c r="T1" s="339"/>
      <x:c r="U1" s="339"/>
      <x:c r="V1" s="339"/>
      <x:c r="W1" s="339"/>
      <x:c r="X1" s="339"/>
      <x:c r="Y1" s="339"/>
      <x:c r="Z1" s="339"/>
    </x:row>
    <x:row r="2" ht="28" customHeight="1">
      <x:c r="A2" s="340" t="str">
        <x:v>This is a conditional scale model, not part of the immediate ask. The rollout is ramped over five years and only follows successful Year 0 and pilot gates.</x:v>
      </x:c>
      <x:c r="B2" s="340" t="str">
        <x:v>This is a conditional scale model, not part of the immediate ask. The rollout is ramped over five years and only follows successful Year 0 and pilot gates.</x:v>
      </x:c>
      <x:c r="C2" s="340" t="str">
        <x:v>This is a conditional scale model, not part of the immediate ask. The rollout is ramped over five years and only follows successful Year 0 and pilot gates.</x:v>
      </x:c>
      <x:c r="D2" s="340" t="str">
        <x:v>This is a conditional scale model, not part of the immediate ask. The rollout is ramped over five years and only follows successful Year 0 and pilot gates.</x:v>
      </x:c>
      <x:c r="E2" s="340" t="str">
        <x:v>This is a conditional scale model, not part of the immediate ask. The rollout is ramped over five years and only follows successful Year 0 and pilot gates.</x:v>
      </x:c>
      <x:c r="F2" s="340" t="str">
        <x:v>This is a conditional scale model, not part of the immediate ask. The rollout is ramped over five years and only follows successful Year 0 and pilot gates.</x:v>
      </x:c>
      <x:c r="G2" s="340" t="str">
        <x:v>This is a conditional scale model, not part of the immediate ask. The rollout is ramped over five years and only follows successful Year 0 and pilot gates.</x:v>
      </x:c>
      <x:c r="H2" s="340" t="str">
        <x:v>This is a conditional scale model, not part of the immediate ask. The rollout is ramped over five years and only follows successful Year 0 and pilot gates.</x:v>
      </x:c>
      <x:c r="I2" s="340" t="str">
        <x:v>This is a conditional scale model, not part of the immediate ask. The rollout is ramped over five years and only follows successful Year 0 and pilot gates.</x:v>
      </x:c>
      <x:c r="J2" s="340" t="str">
        <x:v>This is a conditional scale model, not part of the immediate ask. The rollout is ramped over five years and only follows successful Year 0 and pilot gates.</x:v>
      </x:c>
      <x:c r="K2" s="340" t="str">
        <x:v>This is a conditional scale model, not part of the immediate ask. The rollout is ramped over five years and only follows successful Year 0 and pilot gates.</x:v>
      </x:c>
      <x:c r="L2" s="340" t="str">
        <x:v>This is a conditional scale model, not part of the immediate ask. The rollout is ramped over five years and only follows successful Year 0 and pilot gates.</x:v>
      </x:c>
      <x:c r="M2" s="340" t="str">
        <x:v>This is a conditional scale model, not part of the immediate ask. The rollout is ramped over five years and only follows successful Year 0 and pilot gates.</x:v>
      </x:c>
      <x:c r="N2" s="340" t="str">
        <x:v>This is a conditional scale model, not part of the immediate ask. The rollout is ramped over five years and only follows successful Year 0 and pilot gates.</x:v>
      </x:c>
      <x:c r="O2" s="339"/>
      <x:c r="P2" s="339"/>
      <x:c r="Q2" s="339"/>
      <x:c r="R2" s="339"/>
      <x:c r="S2" s="339"/>
      <x:c r="T2" s="339"/>
      <x:c r="U2" s="339"/>
      <x:c r="V2" s="339"/>
      <x:c r="W2" s="339"/>
      <x:c r="X2" s="339"/>
      <x:c r="Y2" s="339"/>
      <x:c r="Z2" s="339"/>
    </x:row>
    <x:row r="3">
      <x:c r="A3" s="28"/>
      <x:c r="B3" s="28"/>
      <x:c r="C3" s="28"/>
      <x:c r="D3" s="28"/>
      <x:c r="E3" s="28"/>
      <x:c r="F3" s="28"/>
      <x:c r="G3" s="28"/>
      <x:c r="H3" s="28"/>
      <x:c r="I3" s="28"/>
      <x:c r="J3" s="28"/>
      <x:c r="K3" s="28"/>
      <x:c r="L3" s="28"/>
      <x:c r="M3" s="28"/>
      <x:c r="N3" s="28"/>
      <x:c r="O3" s="339"/>
      <x:c r="P3" s="339"/>
      <x:c r="Q3" s="339"/>
      <x:c r="R3" s="339"/>
      <x:c r="S3" s="339"/>
      <x:c r="T3" s="339"/>
      <x:c r="U3" s="339"/>
      <x:c r="V3" s="339"/>
      <x:c r="W3" s="339"/>
      <x:c r="X3" s="339"/>
      <x:c r="Y3" s="339"/>
      <x:c r="Z3" s="339"/>
    </x:row>
    <x:row r="4" ht="30" customHeight="1">
      <x:c r="A4" s="343" t="str">
        <x:v>Scenario</x:v>
      </x:c>
      <x:c r="B4" s="343" t="str">
        <x:v>Participant payments</x:v>
      </x:c>
      <x:c r="C4" s="343" t="str">
        <x:v>Staffing</x:v>
      </x:c>
      <x:c r="D4" s="343" t="str">
        <x:v>Schools &amp; community</x:v>
      </x:c>
      <x:c r="E4" s="343" t="str">
        <x:v>Technology &amp; payment</x:v>
      </x:c>
      <x:c r="F4" s="343" t="str">
        <x:v>Evaluation &amp; assurance</x:v>
      </x:c>
      <x:c r="G4" s="343" t="str">
        <x:v>Contingency</x:v>
      </x:c>
      <x:c r="H4" s="343" t="str">
        <x:v>Mature annual cost</x:v>
      </x:c>
      <x:c r="I4" s="343" t="str">
        <x:v>Cost per student/year</x:v>
      </x:c>
      <x:c r="J4" s="28"/>
      <x:c r="K4" s="406" t="str">
        <x:v>The mature annual cost excludes temporary rollout-onboarding expenditure. The five-year implementation table below includes it.</x:v>
      </x:c>
      <x:c r="L4" s="406"/>
      <x:c r="M4" s="406"/>
      <x:c r="N4" s="406"/>
      <x:c r="O4" s="339"/>
      <x:c r="P4" s="339"/>
      <x:c r="Q4" s="339"/>
      <x:c r="R4" s="339"/>
      <x:c r="S4" s="339"/>
      <x:c r="T4" s="339"/>
      <x:c r="U4" s="339"/>
      <x:c r="V4" s="339"/>
      <x:c r="W4" s="339"/>
      <x:c r="X4" s="339"/>
      <x:c r="Y4" s="339"/>
      <x:c r="Z4" s="339"/>
    </x:row>
    <x:row r="5">
      <x:c r="A5" s="407" t="str">
        <x:v>Low</x:v>
      </x:c>
      <x:c r="B5" s="345" t="n">
        <x:f>Assumptions!$D$32*Assumptions!$D$35*Assumptions!$D$36*Assumptions!$D$37</x:f>
        <x:v>740389625</x:v>
      </x:c>
      <x:c r="C5" s="345" t="n">
        <x:f>((Assumptions!$D$32/Assumptions!$D$38)*Assumptions!$D$39+24*175000+(Assumptions!$D$32/4000)*130000+(Assumptions!$D$32/5000)*125000+60*145000+(Assumptions!$D$32/10000)*100000)*Assumptions!$D$13</x:f>
        <x:v>68598487.125</x:v>
      </x:c>
      <x:c r="D5" s="345" t="n">
        <x:f>((Assumptions!$D$34*80000)+(Assumptions!$D$32*250))*Assumptions!$D$13</x:f>
        <x:v>100245387.5</x:v>
      </x:c>
      <x:c r="E5" s="345" t="n">
        <x:f>(12000000+(4000000+Assumptions!$D$32*25)+(Assumptions!$D$32*60))*Assumptions!$D$13</x:f>
        <x:v>36123431.75</x:v>
      </x:c>
      <x:c r="F5" s="345" t="n">
        <x:f>(12000000+8000000+8000000)*Assumptions!$D$13</x:f>
        <x:v>23800000</x:v>
      </x:c>
      <x:c r="G5" s="345" t="n">
        <x:f>SUM(C5:F5)*Assumptions!$D$14</x:f>
        <x:v>18301384.51</x:v>
      </x:c>
      <x:c r="H5" s="345" t="n">
        <x:f>SUM(B5:G5)</x:f>
        <x:v>987458315.885</x:v>
      </x:c>
      <x:c r="I5" s="345" t="n">
        <x:f>H5/Assumptions!$D$32</x:f>
        <x:v>3167.5396589017237</x:v>
      </x:c>
      <x:c r="J5" s="28"/>
      <x:c r="K5" s="28"/>
      <x:c r="L5" s="28"/>
      <x:c r="M5" s="28"/>
      <x:c r="N5" s="28"/>
      <x:c r="O5" s="339"/>
      <x:c r="P5" s="339"/>
      <x:c r="Q5" s="339"/>
      <x:c r="R5" s="339"/>
      <x:c r="S5" s="339"/>
      <x:c r="T5" s="339"/>
      <x:c r="U5" s="339"/>
      <x:c r="V5" s="339"/>
      <x:c r="W5" s="339"/>
      <x:c r="X5" s="339"/>
      <x:c r="Y5" s="339"/>
      <x:c r="Z5" s="339"/>
    </x:row>
    <x:row r="6">
      <x:c r="A6" s="408" t="str">
        <x:v>Central</x:v>
      </x:c>
      <x:c r="B6" s="409" t="n">
        <x:f>Assumptions!$E$32*Assumptions!$E$35*Assumptions!$E$36*Assumptions!$E$37</x:f>
        <x:v>1215797700</x:v>
      </x:c>
      <x:c r="C6" s="409" t="n">
        <x:f>((Assumptions!$E$32/Assumptions!$E$38)*Assumptions!$E$39+24*175000+(Assumptions!$E$32/4000)*130000+(Assumptions!$E$32/5000)*125000+60*145000+(Assumptions!$E$32/10000)*100000)*Assumptions!$E$13</x:f>
        <x:v>93693394.16666667</x:v>
      </x:c>
      <x:c r="D6" s="409" t="n">
        <x:f>((Assumptions!$E$34*80000)+(Assumptions!$E$32*250))*Assumptions!$E$13</x:f>
        <x:v>117935750</x:v>
      </x:c>
      <x:c r="E6" s="409" t="n">
        <x:f>(12000000+(4000000+Assumptions!$E$32*25)+(Assumptions!$E$32*60))*Assumptions!$E$13</x:f>
        <x:v>42498155</x:v>
      </x:c>
      <x:c r="F6" s="409" t="n">
        <x:f>(12000000+8000000+8000000)*Assumptions!$E$13</x:f>
        <x:v>28000000</x:v>
      </x:c>
      <x:c r="G6" s="409" t="n">
        <x:f>SUM(C6:F6)*Assumptions!$E$14</x:f>
        <x:v>28212729.91666667</x:v>
      </x:c>
      <x:c r="H6" s="409" t="n">
        <x:f>SUM(B6:G6)</x:f>
        <x:v>1526137729.0833335</x:v>
      </x:c>
      <x:c r="I6" s="409" t="n">
        <x:f>H6/Assumptions!$E$32</x:f>
        <x:v>4895.499591276575</x:v>
      </x:c>
      <x:c r="J6" s="28"/>
      <x:c r="K6" s="28"/>
      <x:c r="L6" s="28"/>
      <x:c r="M6" s="28"/>
      <x:c r="N6" s="28"/>
      <x:c r="O6" s="339"/>
      <x:c r="P6" s="339"/>
      <x:c r="Q6" s="339"/>
      <x:c r="R6" s="339"/>
      <x:c r="S6" s="339"/>
      <x:c r="T6" s="339"/>
      <x:c r="U6" s="339"/>
      <x:c r="V6" s="339"/>
      <x:c r="W6" s="339"/>
      <x:c r="X6" s="339"/>
      <x:c r="Y6" s="339"/>
      <x:c r="Z6" s="339"/>
    </x:row>
    <x:row r="7">
      <x:c r="A7" s="407" t="str">
        <x:v>High</x:v>
      </x:c>
      <x:c r="B7" s="345" t="n">
        <x:f>Assumptions!$F$32*Assumptions!$F$35*Assumptions!$F$36*Assumptions!$F$37</x:f>
        <x:v>1571184720</x:v>
      </x:c>
      <x:c r="C7" s="345" t="n">
        <x:f>((Assumptions!$F$32/Assumptions!$F$38)*Assumptions!$F$39+24*175000+(Assumptions!$F$32/4000)*130000+(Assumptions!$F$32/5000)*125000+60*145000+(Assumptions!$F$32/10000)*100000)*Assumptions!$F$13</x:f>
        <x:v>143744790.625</x:v>
      </x:c>
      <x:c r="D7" s="345" t="n">
        <x:f>((Assumptions!$F$34*80000)+(Assumptions!$F$32*250))*Assumptions!$F$13</x:f>
        <x:v>147419687.5</x:v>
      </x:c>
      <x:c r="E7" s="345" t="n">
        <x:f>(12000000+(4000000+Assumptions!$F$32*25)+(Assumptions!$F$32*60))*Assumptions!$F$13</x:f>
        <x:v>53122693.75</x:v>
      </x:c>
      <x:c r="F7" s="345" t="n">
        <x:f>(12000000+8000000+8000000)*Assumptions!$F$13</x:f>
        <x:v>35000000</x:v>
      </x:c>
      <x:c r="G7" s="345" t="n">
        <x:f>SUM(C7:F7)*Assumptions!$F$14</x:f>
        <x:v>56893075.78125</x:v>
      </x:c>
      <x:c r="H7" s="345" t="n">
        <x:f>SUM(B7:G7)</x:f>
        <x:v>2007364967.65625</x:v>
      </x:c>
      <x:c r="I7" s="345" t="n">
        <x:f>H7/Assumptions!$F$32</x:f>
        <x:v>6439.166132539463</x:v>
      </x:c>
      <x:c r="J7" s="28"/>
      <x:c r="K7" s="28"/>
      <x:c r="L7" s="28"/>
      <x:c r="M7" s="28"/>
      <x:c r="N7" s="28"/>
      <x:c r="O7" s="339"/>
      <x:c r="P7" s="339"/>
      <x:c r="Q7" s="339"/>
      <x:c r="R7" s="339"/>
      <x:c r="S7" s="339"/>
      <x:c r="T7" s="339"/>
      <x:c r="U7" s="339"/>
      <x:c r="V7" s="339"/>
      <x:c r="W7" s="339"/>
      <x:c r="X7" s="339"/>
      <x:c r="Y7" s="339"/>
      <x:c r="Z7" s="339"/>
    </x:row>
    <x:row r="8">
      <x:c r="A8" s="28"/>
      <x:c r="B8" s="28"/>
      <x:c r="C8" s="28"/>
      <x:c r="D8" s="28"/>
      <x:c r="E8" s="28"/>
      <x:c r="F8" s="28"/>
      <x:c r="G8" s="28"/>
      <x:c r="H8" s="28"/>
      <x:c r="I8" s="28"/>
      <x:c r="J8" s="28"/>
      <x:c r="K8" s="28"/>
      <x:c r="L8" s="28"/>
      <x:c r="M8" s="28"/>
      <x:c r="N8" s="28"/>
      <x:c r="O8" s="339"/>
      <x:c r="P8" s="339"/>
      <x:c r="Q8" s="339"/>
      <x:c r="R8" s="339"/>
      <x:c r="S8" s="339"/>
      <x:c r="T8" s="339"/>
      <x:c r="U8" s="339"/>
      <x:c r="V8" s="339"/>
      <x:c r="W8" s="339"/>
      <x:c r="X8" s="339"/>
      <x:c r="Y8" s="339"/>
      <x:c r="Z8" s="339"/>
    </x:row>
    <x:row r="9" ht="24" customHeight="1">
      <x:c r="A9" s="462" t="str">
        <x:v>Central rollout ramp: 10% → 30% → 60% → 85% → 100%. This is a planning sequence only; Cabinet/Treasury and delivery capacity determine actual timing.</x:v>
      </x:c>
      <x:c r="B9" s="462"/>
      <x:c r="C9" s="462"/>
      <x:c r="D9" s="462"/>
      <x:c r="E9" s="462"/>
      <x:c r="F9" s="462"/>
      <x:c r="G9" s="462"/>
      <x:c r="H9" s="462"/>
      <x:c r="I9" s="462"/>
      <x:c r="J9" s="462"/>
      <x:c r="K9" s="462"/>
      <x:c r="L9" s="462"/>
      <x:c r="M9" s="462"/>
      <x:c r="N9" s="462"/>
      <x:c r="O9" s="339"/>
      <x:c r="P9" s="339"/>
      <x:c r="Q9" s="339"/>
      <x:c r="R9" s="339"/>
      <x:c r="S9" s="339"/>
      <x:c r="T9" s="339"/>
      <x:c r="U9" s="339"/>
      <x:c r="V9" s="339"/>
      <x:c r="W9" s="339"/>
      <x:c r="X9" s="339"/>
      <x:c r="Y9" s="339"/>
      <x:c r="Z9" s="339"/>
    </x:row>
    <x:row r="10">
      <x:c r="A10" s="28"/>
      <x:c r="B10" s="28"/>
      <x:c r="C10" s="28"/>
      <x:c r="D10" s="28"/>
      <x:c r="E10" s="28"/>
      <x:c r="F10" s="28"/>
      <x:c r="G10" s="28"/>
      <x:c r="H10" s="28"/>
      <x:c r="I10" s="28"/>
      <x:c r="J10" s="28"/>
      <x:c r="K10" s="28"/>
      <x:c r="L10" s="28"/>
      <x:c r="M10" s="28"/>
      <x:c r="N10" s="28"/>
      <x:c r="O10" s="339"/>
      <x:c r="P10" s="339"/>
      <x:c r="Q10" s="339"/>
      <x:c r="R10" s="339"/>
      <x:c r="S10" s="339"/>
      <x:c r="T10" s="339"/>
      <x:c r="U10" s="339"/>
      <x:c r="V10" s="339"/>
      <x:c r="W10" s="339"/>
      <x:c r="X10" s="339"/>
      <x:c r="Y10" s="339"/>
      <x:c r="Z10" s="339"/>
    </x:row>
    <x:row r="11" ht="28" customHeight="1">
      <x:c r="A11" s="343" t="str">
        <x:v>Cost group</x:v>
      </x:c>
      <x:c r="B11" s="343" t="str">
        <x:v>Cost item</x:v>
      </x:c>
      <x:c r="C11" s="343" t="str">
        <x:v>Transparent cost basis</x:v>
      </x:c>
      <x:c r="D11" s="343" t="str">
        <x:v>Unit</x:v>
      </x:c>
      <x:c r="E11" s="343" t="str">
        <x:v>Rollout Year 1</x:v>
      </x:c>
      <x:c r="F11" s="343" t="str">
        <x:v>Rollout Year 2</x:v>
      </x:c>
      <x:c r="G11" s="343" t="str">
        <x:v>Rollout Year 3</x:v>
      </x:c>
      <x:c r="H11" s="343" t="str">
        <x:v>Rollout Year 4</x:v>
      </x:c>
      <x:c r="I11" s="343" t="str">
        <x:v>Rollout Year 5</x:v>
      </x:c>
      <x:c r="J11" s="343" t="str">
        <x:v>Five-year total</x:v>
      </x:c>
      <x:c r="K11" s="343" t="str">
        <x:v>Mature annual run-rate</x:v>
      </x:c>
      <x:c r="L11" s="343" t="str">
        <x:v>Source ID</x:v>
      </x:c>
      <x:c r="M11" s="343" t="str">
        <x:v>Evidence / validation</x:v>
      </x:c>
      <x:c r="N11" s="343" t="str">
        <x:v>Notes</x:v>
      </x:c>
      <x:c r="O11" s="339"/>
      <x:c r="P11" s="339"/>
      <x:c r="Q11" s="339"/>
      <x:c r="R11" s="339"/>
      <x:c r="S11" s="339"/>
      <x:c r="T11" s="339"/>
      <x:c r="U11" s="339"/>
      <x:c r="V11" s="339"/>
      <x:c r="W11" s="339"/>
      <x:c r="X11" s="339"/>
      <x:c r="Y11" s="339"/>
      <x:c r="Z11" s="339"/>
    </x:row>
    <x:row r="12" ht="21" customHeight="1">
      <x:c r="A12" s="368" t="str">
        <x:v>Participant payments</x:v>
      </x:c>
      <x:c r="B12" s="368" t="str">
        <x:v>Participant payments</x:v>
      </x:c>
      <x:c r="C12" s="368" t="str">
        <x:v>Participant payments</x:v>
      </x:c>
      <x:c r="D12" s="368" t="str">
        <x:v>Participant payments</x:v>
      </x:c>
      <x:c r="E12" s="413" t="str">
        <x:v>Participant payments</x:v>
      </x:c>
      <x:c r="F12" s="413" t="str">
        <x:v>Participant payments</x:v>
      </x:c>
      <x:c r="G12" s="413" t="str">
        <x:v>Participant payments</x:v>
      </x:c>
      <x:c r="H12" s="413" t="str">
        <x:v>Participant payments</x:v>
      </x:c>
      <x:c r="I12" s="413" t="str">
        <x:v>Participant payments</x:v>
      </x:c>
      <x:c r="J12" s="413" t="str">
        <x:v>Participant payments</x:v>
      </x:c>
      <x:c r="K12" s="413" t="str">
        <x:v>Participant payments</x:v>
      </x:c>
      <x:c r="L12" s="368" t="str">
        <x:v>Participant payments</x:v>
      </x:c>
      <x:c r="M12" s="368" t="str">
        <x:v>Participant payments</x:v>
      </x:c>
      <x:c r="N12" s="368" t="str">
        <x:v>Participant payments</x:v>
      </x:c>
      <x:c r="O12" s="339"/>
      <x:c r="P12" s="339"/>
      <x:c r="Q12" s="339"/>
      <x:c r="R12" s="339"/>
      <x:c r="S12" s="339"/>
      <x:c r="T12" s="339"/>
      <x:c r="U12" s="339"/>
      <x:c r="V12" s="339"/>
      <x:c r="W12" s="339"/>
      <x:c r="X12" s="339"/>
      <x:c r="Y12" s="339"/>
      <x:c r="Z12" s="339"/>
    </x:row>
    <x:row r="13">
      <x:c r="A13" s="28" t="str">
        <x:v>Participant payments</x:v>
      </x:c>
      <x:c r="B13" s="28" t="str">
        <x:v>Immediate-access participation payments</x:v>
      </x:c>
      <x:c r="C13" s="28" t="str">
        <x:v>Active students × weekly maximum × earned proportion × immediate share</x:v>
      </x:c>
      <x:c r="D13" s="28" t="str">
        <x:v>NZD/year</x:v>
      </x:c>
      <x:c r="E13" s="345" t="n">
        <x:f>Assumptions!$E$32*0.1*Assumptions!$E$35*Assumptions!$E$36*Assumptions!$E$37*(1-Assumptions!$E$55)</x:f>
        <x:v>60789885</x:v>
      </x:c>
      <x:c r="F13" s="345" t="n">
        <x:f>Assumptions!$E$32*0.3*Assumptions!$E$35*Assumptions!$E$36*Assumptions!$E$37*(1-Assumptions!$E$55)</x:f>
        <x:v>182369655</x:v>
      </x:c>
      <x:c r="G13" s="345" t="n">
        <x:f>Assumptions!$E$32*0.6*Assumptions!$E$35*Assumptions!$E$36*Assumptions!$E$37*(1-Assumptions!$E$55)</x:f>
        <x:v>364739310</x:v>
      </x:c>
      <x:c r="H13" s="345" t="n">
        <x:f>Assumptions!$E$32*0.85*Assumptions!$E$35*Assumptions!$E$36*Assumptions!$E$37*(1-Assumptions!$E$55)</x:f>
        <x:v>516714022.5</x:v>
      </x:c>
      <x:c r="I13" s="345" t="n">
        <x:f>Assumptions!$E$32*1.0*Assumptions!$E$35*Assumptions!$E$36*Assumptions!$E$37*(1-Assumptions!$E$55)</x:f>
        <x:v>607898850</x:v>
      </x:c>
      <x:c r="J13" s="345" t="n">
        <x:f>SUM(E13:I13)</x:f>
        <x:v>1732511722.5</x:v>
      </x:c>
      <x:c r="K13" s="345" t="n">
        <x:f>I13</x:f>
        <x:v>607898850</x:v>
      </x:c>
      <x:c r="L13" s="28" t="str">
        <x:v>S01;A06</x:v>
      </x:c>
      <x:c r="M13" s="28" t="str">
        <x:v>High uncertainty</x:v>
      </x:c>
      <x:c r="N13" s="28" t="str">
        <x:v>Both portions remain programme expenditure.</x:v>
      </x:c>
      <x:c r="O13" s="339"/>
      <x:c r="P13" s="339"/>
      <x:c r="Q13" s="339"/>
      <x:c r="R13" s="339"/>
      <x:c r="S13" s="339"/>
      <x:c r="T13" s="339"/>
      <x:c r="U13" s="339"/>
      <x:c r="V13" s="339"/>
      <x:c r="W13" s="339"/>
      <x:c r="X13" s="339"/>
      <x:c r="Y13" s="339"/>
      <x:c r="Z13" s="339"/>
    </x:row>
    <x:row r="14">
      <x:c r="A14" s="839" t="str">
        <x:v>Participant payments</x:v>
      </x:c>
      <x:c r="B14" s="839" t="str">
        <x:v>He Ara Angitū Learning Capital Account deposits</x:v>
      </x:c>
      <x:c r="C14" s="839" t="str">
        <x:v>Active students × weekly maximum × earned proportion × protected-account share</x:v>
      </x:c>
      <x:c r="D14" s="839" t="str">
        <x:v>NZD/year</x:v>
      </x:c>
      <x:c r="E14" s="843" t="n">
        <x:f>Assumptions!$E$32*0.1*Assumptions!$E$35*Assumptions!$E$36*Assumptions!$E$37*Assumptions!$E$55</x:f>
        <x:v>60789885</x:v>
      </x:c>
      <x:c r="F14" s="843" t="n">
        <x:f>Assumptions!$E$32*0.3*Assumptions!$E$35*Assumptions!$E$36*Assumptions!$E$37*Assumptions!$E$55</x:f>
        <x:v>182369655</x:v>
      </x:c>
      <x:c r="G14" s="843" t="n">
        <x:f>Assumptions!$E$32*0.6*Assumptions!$E$35*Assumptions!$E$36*Assumptions!$E$37*Assumptions!$E$55</x:f>
        <x:v>364739310</x:v>
      </x:c>
      <x:c r="H14" s="843" t="n">
        <x:f>Assumptions!$E$32*0.85*Assumptions!$E$35*Assumptions!$E$36*Assumptions!$E$37*Assumptions!$E$55</x:f>
        <x:v>516714022.5</x:v>
      </x:c>
      <x:c r="I14" s="843" t="n">
        <x:f>Assumptions!$E$32*1.0*Assumptions!$E$35*Assumptions!$E$36*Assumptions!$E$37*Assumptions!$E$55</x:f>
        <x:v>607898850</x:v>
      </x:c>
      <x:c r="J14" s="843" t="n">
        <x:f>SUM(E14:I14)</x:f>
        <x:v>1732511722.5</x:v>
      </x:c>
      <x:c r="K14" s="843" t="n">
        <x:f>I14</x:f>
        <x:v>607898850</x:v>
      </x:c>
      <x:c r="L14" s="839" t="str">
        <x:v>S01;A06;A15</x:v>
      </x:c>
      <x:c r="M14" s="839" t="str">
        <x:v>High uncertainty</x:v>
      </x:c>
      <x:c r="N14" s="839" t="str">
        <x:v>Protected education capital; no guaranteed return.</x:v>
      </x:c>
      <x:c r="O14" s="339"/>
      <x:c r="P14" s="339"/>
      <x:c r="Q14" s="339"/>
      <x:c r="R14" s="339"/>
      <x:c r="S14" s="339"/>
      <x:c r="T14" s="339"/>
      <x:c r="U14" s="339"/>
      <x:c r="V14" s="339"/>
      <x:c r="W14" s="339"/>
      <x:c r="X14" s="339"/>
      <x:c r="Y14" s="339"/>
      <x:c r="Z14" s="339"/>
    </x:row>
    <x:row r="15">
      <x:c r="A15" s="844" t="str">
        <x:v>Participant payments subtotal</x:v>
      </x:c>
      <x:c r="B15" s="844"/>
      <x:c r="C15" s="844"/>
      <x:c r="D15" s="844"/>
      <x:c r="E15" s="847" t="n">
        <x:f>SUM(E13:E14)</x:f>
        <x:v>121579770</x:v>
      </x:c>
      <x:c r="F15" s="847" t="n">
        <x:f>SUM(F13:F14)</x:f>
        <x:v>364739310</x:v>
      </x:c>
      <x:c r="G15" s="847" t="n">
        <x:f>SUM(G13:G14)</x:f>
        <x:v>729478620</x:v>
      </x:c>
      <x:c r="H15" s="847" t="n">
        <x:f>SUM(H13:H14)</x:f>
        <x:v>1033428045</x:v>
      </x:c>
      <x:c r="I15" s="847" t="n">
        <x:f>SUM(I13:I14)</x:f>
        <x:v>1215797700</x:v>
      </x:c>
      <x:c r="J15" s="847" t="n">
        <x:f>SUM(E15:I15)</x:f>
        <x:v>3465023445</x:v>
      </x:c>
      <x:c r="K15" s="847" t="n">
        <x:f>SUM(K13:K14)</x:f>
        <x:v>1215797700</x:v>
      </x:c>
      <x:c r="L15" s="844"/>
      <x:c r="M15" s="844"/>
      <x:c r="N15" s="844"/>
      <x:c r="O15" s="339"/>
      <x:c r="P15" s="339"/>
      <x:c r="Q15" s="339"/>
      <x:c r="R15" s="339"/>
      <x:c r="S15" s="339"/>
      <x:c r="T15" s="339"/>
      <x:c r="U15" s="339"/>
      <x:c r="V15" s="339"/>
      <x:c r="W15" s="339"/>
      <x:c r="X15" s="339"/>
      <x:c r="Y15" s="339"/>
      <x:c r="Z15" s="339"/>
    </x:row>
    <x:row r="16" ht="21" customHeight="1">
      <x:c r="A16" s="368" t="str">
        <x:v>Delivery staffing</x:v>
      </x:c>
      <x:c r="B16" s="368" t="str">
        <x:v>Delivery staffing</x:v>
      </x:c>
      <x:c r="C16" s="368" t="str">
        <x:v>Delivery staffing</x:v>
      </x:c>
      <x:c r="D16" s="368" t="str">
        <x:v>Delivery staffing</x:v>
      </x:c>
      <x:c r="E16" s="413" t="str">
        <x:v>Delivery staffing</x:v>
      </x:c>
      <x:c r="F16" s="413" t="str">
        <x:v>Delivery staffing</x:v>
      </x:c>
      <x:c r="G16" s="413" t="str">
        <x:v>Delivery staffing</x:v>
      </x:c>
      <x:c r="H16" s="413" t="str">
        <x:v>Delivery staffing</x:v>
      </x:c>
      <x:c r="I16" s="413" t="str">
        <x:v>Delivery staffing</x:v>
      </x:c>
      <x:c r="J16" s="413" t="str">
        <x:v>Delivery staffing</x:v>
      </x:c>
      <x:c r="K16" s="413" t="str">
        <x:v>Delivery staffing</x:v>
      </x:c>
      <x:c r="L16" s="368" t="str">
        <x:v>Delivery staffing</x:v>
      </x:c>
      <x:c r="M16" s="368" t="str">
        <x:v>Delivery staffing</x:v>
      </x:c>
      <x:c r="N16" s="368" t="str">
        <x:v>Delivery staffing</x:v>
      </x:c>
      <x:c r="O16" s="339"/>
      <x:c r="P16" s="339"/>
      <x:c r="Q16" s="339"/>
      <x:c r="R16" s="339"/>
      <x:c r="S16" s="339"/>
      <x:c r="T16" s="339"/>
      <x:c r="U16" s="339"/>
      <x:c r="V16" s="339"/>
      <x:c r="W16" s="339"/>
      <x:c r="X16" s="339"/>
      <x:c r="Y16" s="339"/>
      <x:c r="Z16" s="339"/>
    </x:row>
    <x:row r="17">
      <x:c r="A17" s="28" t="str">
        <x:v>Delivery staffing</x:v>
      </x:c>
      <x:c r="B17" s="28" t="str">
        <x:v>School Programme Coordinators</x:v>
      </x:c>
      <x:c r="C17" s="28" t="str">
        <x:v>Active students ÷ 600 × $115,000</x:v>
      </x:c>
      <x:c r="D17" s="28" t="str">
        <x:v>NZD/year</x:v>
      </x:c>
      <x:c r="E17" s="416" t="n">
        <x:f>((Assumptions!$E$32*0.1)/Assumptions!$E$38)*Assumptions!$E$39</x:f>
        <x:v>5975074.166666667</x:v>
      </x:c>
      <x:c r="F17" s="416" t="n">
        <x:f>((Assumptions!$E$32*0.3)/Assumptions!$E$38)*Assumptions!$E$39</x:f>
        <x:v>17925222.5</x:v>
      </x:c>
      <x:c r="G17" s="416" t="n">
        <x:f>((Assumptions!$E$32*0.6)/Assumptions!$E$38)*Assumptions!$E$39</x:f>
        <x:v>35850445</x:v>
      </x:c>
      <x:c r="H17" s="416" t="n">
        <x:f>((Assumptions!$E$32*0.85)/Assumptions!$E$38)*Assumptions!$E$39</x:f>
        <x:v>50788130.416666664</x:v>
      </x:c>
      <x:c r="I17" s="416" t="n">
        <x:f>((Assumptions!$E$32*1.0)/Assumptions!$E$38)*Assumptions!$E$39</x:f>
        <x:v>59750741.66666667</x:v>
      </x:c>
      <x:c r="J17" s="416" t="n">
        <x:f>SUM(E17:I17)</x:f>
        <x:v>170289613.75</x:v>
      </x:c>
      <x:c r="K17" s="416" t="n">
        <x:f>I17</x:f>
        <x:v>59750741.66666667</x:v>
      </x:c>
      <x:c r="L17" s="35" t="str">
        <x:v>S01;S09;S11</x:v>
      </x:c>
      <x:c r="M17" s="35" t="str">
        <x:v>Workload test required</x:v>
      </x:c>
      <x:c r="N17" s="35" t="str">
        <x:v>Fractional FTE shown for planning.</x:v>
      </x:c>
      <x:c r="O17" s="339"/>
      <x:c r="P17" s="339"/>
      <x:c r="Q17" s="339"/>
      <x:c r="R17" s="339"/>
      <x:c r="S17" s="339"/>
      <x:c r="T17" s="339"/>
      <x:c r="U17" s="339"/>
      <x:c r="V17" s="339"/>
      <x:c r="W17" s="339"/>
      <x:c r="X17" s="339"/>
      <x:c r="Y17" s="339"/>
      <x:c r="Z17" s="339"/>
    </x:row>
    <x:row r="18">
      <x:c r="A18" s="28" t="str">
        <x:v>Delivery staffing</x:v>
      </x:c>
      <x:c r="B18" s="28" t="str">
        <x:v>Regional Delivery Managers</x:v>
      </x:c>
      <x:c r="C18" s="28" t="str">
        <x:v>8 base + 16 scaled FTE × $175,000</x:v>
      </x:c>
      <x:c r="D18" s="28" t="str">
        <x:v>NZD/year</x:v>
      </x:c>
      <x:c r="E18" s="423" t="n">
        <x:f>(8+16*0.1)*175000</x:f>
        <x:v>1680000</x:v>
      </x:c>
      <x:c r="F18" s="423" t="n">
        <x:f>(8+16*0.3)*175000</x:f>
        <x:v>2240000</x:v>
      </x:c>
      <x:c r="G18" s="423" t="n">
        <x:f>(8+16*0.6)*175000</x:f>
        <x:v>3080000.0000000005</x:v>
      </x:c>
      <x:c r="H18" s="423" t="n">
        <x:f>(8+16*0.85)*175000</x:f>
        <x:v>3780000.0000000005</x:v>
      </x:c>
      <x:c r="I18" s="423" t="n">
        <x:f>(8+16*1.0)*175000</x:f>
        <x:v>4200000</x:v>
      </x:c>
      <x:c r="J18" s="423" t="n">
        <x:f>SUM(E18:I18)</x:f>
        <x:v>14980000</x:v>
      </x:c>
      <x:c r="K18" s="423" t="n">
        <x:f>I18</x:f>
        <x:v>4200000</x:v>
      </x:c>
      <x:c r="L18" s="28" t="str">
        <x:v>S09;S10</x:v>
      </x:c>
      <x:c r="M18" s="28" t="str">
        <x:v>Model assumption</x:v>
      </x:c>
      <x:c r="N18" s="28" t="str">
        <x:v>Full rollout assumes 24 FTE across regions.</x:v>
      </x:c>
      <x:c r="O18" s="339"/>
      <x:c r="P18" s="339"/>
      <x:c r="Q18" s="339"/>
      <x:c r="R18" s="339"/>
      <x:c r="S18" s="339"/>
      <x:c r="T18" s="339"/>
      <x:c r="U18" s="339"/>
      <x:c r="V18" s="339"/>
      <x:c r="W18" s="339"/>
      <x:c r="X18" s="339"/>
      <x:c r="Y18" s="339"/>
      <x:c r="Z18" s="339"/>
    </x:row>
    <x:row r="19">
      <x:c r="A19" s="28" t="str">
        <x:v>Delivery staffing</x:v>
      </x:c>
      <x:c r="B19" s="28" t="str">
        <x:v>Safeguarding and Mentor Supervisors</x:v>
      </x:c>
      <x:c r="C19" s="28" t="str">
        <x:v>Active students ÷ 4,000 × $130,000</x:v>
      </x:c>
      <x:c r="D19" s="28" t="str">
        <x:v>NZD/year</x:v>
      </x:c>
      <x:c r="E19" s="423" t="n">
        <x:f>((Assumptions!$E$32*0.1)/4000)*130000</x:f>
        <x:v>1013164.7500000001</x:v>
      </x:c>
      <x:c r="F19" s="423" t="n">
        <x:f>((Assumptions!$E$32*0.3)/4000)*130000</x:f>
        <x:v>3039494.2499999995</x:v>
      </x:c>
      <x:c r="G19" s="423" t="n">
        <x:f>((Assumptions!$E$32*0.6)/4000)*130000</x:f>
        <x:v>6078988.499999999</x:v>
      </x:c>
      <x:c r="H19" s="423" t="n">
        <x:f>((Assumptions!$E$32*0.85)/4000)*130000</x:f>
        <x:v>8611900.374999998</x:v>
      </x:c>
      <x:c r="I19" s="423" t="n">
        <x:f>((Assumptions!$E$32*1.0)/4000)*130000</x:f>
        <x:v>10131647.5</x:v>
      </x:c>
      <x:c r="J19" s="423" t="n">
        <x:f>SUM(E19:I19)</x:f>
        <x:v>28875195.374999996</x:v>
      </x:c>
      <x:c r="K19" s="423" t="n">
        <x:f>I19</x:f>
        <x:v>10131647.5</x:v>
      </x:c>
      <x:c r="L19" s="28" t="str">
        <x:v>S01;S09</x:v>
      </x:c>
      <x:c r="M19" s="28" t="str">
        <x:v>Model assumption</x:v>
      </x:c>
      <x:c r="N19" s="28" t="str">
        <x:v>Confirm mentor model and caseload.</x:v>
      </x:c>
      <x:c r="O19" s="339"/>
      <x:c r="P19" s="339"/>
      <x:c r="Q19" s="339"/>
      <x:c r="R19" s="339"/>
      <x:c r="S19" s="339"/>
      <x:c r="T19" s="339"/>
      <x:c r="U19" s="339"/>
      <x:c r="V19" s="339"/>
      <x:c r="W19" s="339"/>
      <x:c r="X19" s="339"/>
      <x:c r="Y19" s="339"/>
      <x:c r="Z19" s="339"/>
    </x:row>
    <x:row r="20">
      <x:c r="A20" s="28" t="str">
        <x:v>Delivery staffing</x:v>
      </x:c>
      <x:c r="B20" s="28" t="str">
        <x:v>Employer / Community Partnership Coordinators</x:v>
      </x:c>
      <x:c r="C20" s="28" t="str">
        <x:v>Active students ÷ 5,000 × $125,000</x:v>
      </x:c>
      <x:c r="D20" s="28" t="str">
        <x:v>NZD/year</x:v>
      </x:c>
      <x:c r="E20" s="423" t="n">
        <x:f>((Assumptions!$E$32*0.1)/5000)*125000</x:f>
        <x:v>779357.5</x:v>
      </x:c>
      <x:c r="F20" s="423" t="n">
        <x:f>((Assumptions!$E$32*0.3)/5000)*125000</x:f>
        <x:v>2338072.5</x:v>
      </x:c>
      <x:c r="G20" s="423" t="n">
        <x:f>((Assumptions!$E$32*0.6)/5000)*125000</x:f>
        <x:v>4676145</x:v>
      </x:c>
      <x:c r="H20" s="423" t="n">
        <x:f>((Assumptions!$E$32*0.85)/5000)*125000</x:f>
        <x:v>6624538.75</x:v>
      </x:c>
      <x:c r="I20" s="423" t="n">
        <x:f>((Assumptions!$E$32*1.0)/5000)*125000</x:f>
        <x:v>7793575</x:v>
      </x:c>
      <x:c r="J20" s="423" t="n">
        <x:f>SUM(E20:I20)</x:f>
        <x:v>22211688.75</x:v>
      </x:c>
      <x:c r="K20" s="423" t="n">
        <x:f>I20</x:f>
        <x:v>7793575</x:v>
      </x:c>
      <x:c r="L20" s="28" t="str">
        <x:v>S01;S09</x:v>
      </x:c>
      <x:c r="M20" s="28" t="str">
        <x:v>Model assumption</x:v>
      </x:c>
      <x:c r="N20" s="28" t="str">
        <x:v>Confirm regional partnership model.</x:v>
      </x:c>
      <x:c r="O20" s="339"/>
      <x:c r="P20" s="339"/>
      <x:c r="Q20" s="339"/>
      <x:c r="R20" s="339"/>
      <x:c r="S20" s="339"/>
      <x:c r="T20" s="339"/>
      <x:c r="U20" s="339"/>
      <x:c r="V20" s="339"/>
      <x:c r="W20" s="339"/>
      <x:c r="X20" s="339"/>
      <x:c r="Y20" s="339"/>
      <x:c r="Z20" s="339"/>
    </x:row>
    <x:row r="21">
      <x:c r="A21" s="28" t="str">
        <x:v>Delivery staffing</x:v>
      </x:c>
      <x:c r="B21" s="28" t="str">
        <x:v>National Programme, Data, Finance and Policy Team</x:v>
      </x:c>
      <x:c r="C21" s="28" t="str">
        <x:v>24 base + 36 scaled FTE × $145,000</x:v>
      </x:c>
      <x:c r="D21" s="28" t="str">
        <x:v>NZD/year</x:v>
      </x:c>
      <x:c r="E21" s="423" t="n">
        <x:f>(24+36*0.1)*145000</x:f>
        <x:v>4002000</x:v>
      </x:c>
      <x:c r="F21" s="423" t="n">
        <x:f>(24+36*0.3)*145000</x:f>
        <x:v>5046000</x:v>
      </x:c>
      <x:c r="G21" s="423" t="n">
        <x:f>(24+36*0.6)*145000</x:f>
        <x:v>6611999.999999999</x:v>
      </x:c>
      <x:c r="H21" s="423" t="n">
        <x:f>(24+36*0.85)*145000</x:f>
        <x:v>7916999.999999999</x:v>
      </x:c>
      <x:c r="I21" s="423" t="n">
        <x:f>(24+36*1.0)*145000</x:f>
        <x:v>8700000</x:v>
      </x:c>
      <x:c r="J21" s="423" t="n">
        <x:f>SUM(E21:I21)</x:f>
        <x:v>32277000</x:v>
      </x:c>
      <x:c r="K21" s="423" t="n">
        <x:f>I21</x:f>
        <x:v>8700000</x:v>
      </x:c>
      <x:c r="L21" s="28" t="str">
        <x:v>S09;S10;S12;S13</x:v>
      </x:c>
      <x:c r="M21" s="28" t="str">
        <x:v>Model assumption</x:v>
      </x:c>
      <x:c r="N21" s="28" t="str">
        <x:v>Includes programme controls and data operations.</x:v>
      </x:c>
      <x:c r="O21" s="339"/>
      <x:c r="P21" s="339"/>
      <x:c r="Q21" s="339"/>
      <x:c r="R21" s="339"/>
      <x:c r="S21" s="339"/>
      <x:c r="T21" s="339"/>
      <x:c r="U21" s="339"/>
      <x:c r="V21" s="339"/>
      <x:c r="W21" s="339"/>
      <x:c r="X21" s="339"/>
      <x:c r="Y21" s="339"/>
      <x:c r="Z21" s="339"/>
    </x:row>
    <x:row r="22">
      <x:c r="A22" s="28" t="str">
        <x:v>Delivery staffing</x:v>
      </x:c>
      <x:c r="B22" s="28" t="str">
        <x:v>Support Desk and Payment Operations</x:v>
      </x:c>
      <x:c r="C22" s="28" t="str">
        <x:v>Active students ÷ 10,000 × $100,000</x:v>
      </x:c>
      <x:c r="D22" s="28" t="str">
        <x:v>NZD/year</x:v>
      </x:c>
      <x:c r="E22" s="423" t="n">
        <x:f>((Assumptions!$E$32*0.1)/10000)*100000</x:f>
        <x:v>311743</x:v>
      </x:c>
      <x:c r="F22" s="423" t="n">
        <x:f>((Assumptions!$E$32*0.3)/10000)*100000</x:f>
        <x:v>935229</x:v>
      </x:c>
      <x:c r="G22" s="423" t="n">
        <x:f>((Assumptions!$E$32*0.6)/10000)*100000</x:f>
        <x:v>1870458</x:v>
      </x:c>
      <x:c r="H22" s="423" t="n">
        <x:f>((Assumptions!$E$32*0.85)/10000)*100000</x:f>
        <x:v>2649815.5</x:v>
      </x:c>
      <x:c r="I22" s="423" t="n">
        <x:f>((Assumptions!$E$32*1.0)/10000)*100000</x:f>
        <x:v>3117430</x:v>
      </x:c>
      <x:c r="J22" s="423" t="n">
        <x:f>SUM(E22:I22)</x:f>
        <x:v>8884675.5</x:v>
      </x:c>
      <x:c r="K22" s="423" t="n">
        <x:f>I22</x:f>
        <x:v>3117430</x:v>
      </x:c>
      <x:c r="L22" s="28" t="str">
        <x:v>S18;A05</x:v>
      </x:c>
      <x:c r="M22" s="28" t="str">
        <x:v>Model assumption</x:v>
      </x:c>
      <x:c r="N22" s="28" t="str">
        <x:v>Formal payment-agency estimate still required.</x:v>
      </x:c>
      <x:c r="O22" s="339"/>
      <x:c r="P22" s="339"/>
      <x:c r="Q22" s="339"/>
      <x:c r="R22" s="339"/>
      <x:c r="S22" s="339"/>
      <x:c r="T22" s="339"/>
      <x:c r="U22" s="339"/>
      <x:c r="V22" s="339"/>
      <x:c r="W22" s="339"/>
      <x:c r="X22" s="339"/>
      <x:c r="Y22" s="339"/>
      <x:c r="Z22" s="339"/>
    </x:row>
    <x:row r="23">
      <x:c r="A23" s="373" t="str">
        <x:v>Delivery staffing subtotal</x:v>
      </x:c>
      <x:c r="B23" s="373"/>
      <x:c r="C23" s="373"/>
      <x:c r="D23" s="373"/>
      <x:c r="E23" s="420" t="n">
        <x:f>SUM(E17:E22)</x:f>
        <x:v>13761339.416666668</x:v>
      </x:c>
      <x:c r="F23" s="420" t="n">
        <x:f>SUM(F17:F22)</x:f>
        <x:v>31524018.25</x:v>
      </x:c>
      <x:c r="G23" s="420" t="n">
        <x:f>SUM(G17:G22)</x:f>
        <x:v>58168036.5</x:v>
      </x:c>
      <x:c r="H23" s="420" t="n">
        <x:f>SUM(H17:H22)</x:f>
        <x:v>80371385.04166666</x:v>
      </x:c>
      <x:c r="I23" s="420" t="n">
        <x:f>SUM(I17:I22)</x:f>
        <x:v>93693394.16666667</x:v>
      </x:c>
      <x:c r="J23" s="420" t="n">
        <x:f>SUM(J17:J22)</x:f>
        <x:v>277518173.375</x:v>
      </x:c>
      <x:c r="K23" s="420" t="n">
        <x:f>SUM(K17:K22)</x:f>
        <x:v>93693394.16666667</x:v>
      </x:c>
      <x:c r="L23" s="373"/>
      <x:c r="M23" s="373"/>
      <x:c r="N23" s="373"/>
      <x:c r="O23" s="339"/>
      <x:c r="P23" s="339"/>
      <x:c r="Q23" s="339"/>
      <x:c r="R23" s="339"/>
      <x:c r="S23" s="339"/>
      <x:c r="T23" s="339"/>
      <x:c r="U23" s="339"/>
      <x:c r="V23" s="339"/>
      <x:c r="W23" s="339"/>
      <x:c r="X23" s="339"/>
      <x:c r="Y23" s="339"/>
      <x:c r="Z23" s="339"/>
    </x:row>
    <x:row r="24">
      <x:c r="A24" s="28"/>
      <x:c r="B24" s="28"/>
      <x:c r="C24" s="28"/>
      <x:c r="D24" s="28"/>
      <x:c r="E24" s="423"/>
      <x:c r="F24" s="423"/>
      <x:c r="G24" s="423"/>
      <x:c r="H24" s="423"/>
      <x:c r="I24" s="423"/>
      <x:c r="J24" s="423"/>
      <x:c r="K24" s="423"/>
      <x:c r="L24" s="28"/>
      <x:c r="M24" s="28"/>
      <x:c r="N24" s="28"/>
      <x:c r="O24" s="339"/>
      <x:c r="P24" s="339"/>
      <x:c r="Q24" s="339"/>
      <x:c r="R24" s="339"/>
      <x:c r="S24" s="339"/>
      <x:c r="T24" s="339"/>
      <x:c r="U24" s="339"/>
      <x:c r="V24" s="339"/>
      <x:c r="W24" s="339"/>
      <x:c r="X24" s="339"/>
      <x:c r="Y24" s="339"/>
      <x:c r="Z24" s="339"/>
    </x:row>
    <x:row r="25" ht="21" customHeight="1">
      <x:c r="A25" s="368" t="str">
        <x:v>Schools, mentoring &amp; access</x:v>
      </x:c>
      <x:c r="B25" s="368" t="str">
        <x:v>Schools, mentoring &amp; access</x:v>
      </x:c>
      <x:c r="C25" s="368" t="str">
        <x:v>Schools, mentoring &amp; access</x:v>
      </x:c>
      <x:c r="D25" s="368" t="str">
        <x:v>Schools, mentoring &amp; access</x:v>
      </x:c>
      <x:c r="E25" s="413" t="str">
        <x:v>Schools, mentoring &amp; access</x:v>
      </x:c>
      <x:c r="F25" s="413" t="str">
        <x:v>Schools, mentoring &amp; access</x:v>
      </x:c>
      <x:c r="G25" s="413" t="str">
        <x:v>Schools, mentoring &amp; access</x:v>
      </x:c>
      <x:c r="H25" s="413" t="str">
        <x:v>Schools, mentoring &amp; access</x:v>
      </x:c>
      <x:c r="I25" s="413" t="str">
        <x:v>Schools, mentoring &amp; access</x:v>
      </x:c>
      <x:c r="J25" s="413" t="str">
        <x:v>Schools, mentoring &amp; access</x:v>
      </x:c>
      <x:c r="K25" s="413" t="str">
        <x:v>Schools, mentoring &amp; access</x:v>
      </x:c>
      <x:c r="L25" s="368" t="str">
        <x:v>Schools, mentoring &amp; access</x:v>
      </x:c>
      <x:c r="M25" s="368" t="str">
        <x:v>Schools, mentoring &amp; access</x:v>
      </x:c>
      <x:c r="N25" s="368" t="str">
        <x:v>Schools, mentoring &amp; access</x:v>
      </x:c>
      <x:c r="O25" s="339"/>
      <x:c r="P25" s="339"/>
      <x:c r="Q25" s="339"/>
      <x:c r="R25" s="339"/>
      <x:c r="S25" s="339"/>
      <x:c r="T25" s="339"/>
      <x:c r="U25" s="339"/>
      <x:c r="V25" s="339"/>
      <x:c r="W25" s="339"/>
      <x:c r="X25" s="339"/>
      <x:c r="Y25" s="339"/>
      <x:c r="Z25" s="339"/>
    </x:row>
    <x:row r="26">
      <x:c r="A26" s="28" t="str">
        <x:v>Schools, mentoring &amp; access</x:v>
      </x:c>
      <x:c r="B26" s="28" t="str">
        <x:v>School capacity grants</x:v>
      </x:c>
      <x:c r="C26" s="28" t="str">
        <x:v>Active schools × $80,000</x:v>
      </x:c>
      <x:c r="D26" s="28" t="str">
        <x:v>NZD/year</x:v>
      </x:c>
      <x:c r="E26" s="416" t="n">
        <x:f>(Assumptions!$E$34*0.1)*80000</x:f>
        <x:v>4000000</x:v>
      </x:c>
      <x:c r="F26" s="416" t="n">
        <x:f>(Assumptions!$E$34*0.3)*80000</x:f>
        <x:v>12000000</x:v>
      </x:c>
      <x:c r="G26" s="416" t="n">
        <x:f>(Assumptions!$E$34*0.6)*80000</x:f>
        <x:v>24000000</x:v>
      </x:c>
      <x:c r="H26" s="416" t="n">
        <x:f>(Assumptions!$E$34*0.85)*80000</x:f>
        <x:v>34000000</x:v>
      </x:c>
      <x:c r="I26" s="416" t="n">
        <x:f>(Assumptions!$E$34*1.0)*80000</x:f>
        <x:v>40000000</x:v>
      </x:c>
      <x:c r="J26" s="416" t="n">
        <x:f>SUM(E26:I26)</x:f>
        <x:v>114000000</x:v>
      </x:c>
      <x:c r="K26" s="416" t="n">
        <x:f>I26</x:f>
        <x:v>40000000</x:v>
      </x:c>
      <x:c r="L26" s="35" t="str">
        <x:v>A03</x:v>
      </x:c>
      <x:c r="M26" s="35" t="str">
        <x:v>School validation required</x:v>
      </x:c>
      <x:c r="N26" s="35" t="str">
        <x:v>Ongoing capacity, not a teacher paperwork assumption.</x:v>
      </x:c>
      <x:c r="O26" s="339"/>
      <x:c r="P26" s="339"/>
      <x:c r="Q26" s="339"/>
      <x:c r="R26" s="339"/>
      <x:c r="S26" s="339"/>
      <x:c r="T26" s="339"/>
      <x:c r="U26" s="339"/>
      <x:c r="V26" s="339"/>
      <x:c r="W26" s="339"/>
      <x:c r="X26" s="339"/>
      <x:c r="Y26" s="339"/>
      <x:c r="Z26" s="339"/>
    </x:row>
    <x:row r="27">
      <x:c r="A27" s="28" t="str">
        <x:v>Schools, mentoring &amp; access</x:v>
      </x:c>
      <x:c r="B27" s="28" t="str">
        <x:v>Mentoring, whānau, transport and community participation</x:v>
      </x:c>
      <x:c r="C27" s="28" t="str">
        <x:v>Active students × $250</x:v>
      </x:c>
      <x:c r="D27" s="28" t="str">
        <x:v>NZD/year</x:v>
      </x:c>
      <x:c r="E27" s="416" t="n">
        <x:f>(Assumptions!$E$32*0.1)*250</x:f>
        <x:v>7793575.000000001</x:v>
      </x:c>
      <x:c r="F27" s="416" t="n">
        <x:f>(Assumptions!$E$32*0.3)*250</x:f>
        <x:v>23380725</x:v>
      </x:c>
      <x:c r="G27" s="416" t="n">
        <x:f>(Assumptions!$E$32*0.6)*250</x:f>
        <x:v>46761450</x:v>
      </x:c>
      <x:c r="H27" s="416" t="n">
        <x:f>(Assumptions!$E$32*0.85)*250</x:f>
        <x:v>66245387.5</x:v>
      </x:c>
      <x:c r="I27" s="416" t="n">
        <x:f>(Assumptions!$E$32*1.0)*250</x:f>
        <x:v>77935750</x:v>
      </x:c>
      <x:c r="J27" s="416" t="n">
        <x:f>SUM(E27:I27)</x:f>
        <x:v>222116887.5</x:v>
      </x:c>
      <x:c r="K27" s="416" t="n">
        <x:f>I27</x:f>
        <x:v>77935750</x:v>
      </x:c>
      <x:c r="L27" s="35" t="str">
        <x:v>A02</x:v>
      </x:c>
      <x:c r="M27" s="35" t="str">
        <x:v>Policy allowance</x:v>
      </x:c>
      <x:c r="N27" s="35" t="str">
        <x:v>Requires equity and regional allocation rules.</x:v>
      </x:c>
      <x:c r="O27" s="339"/>
      <x:c r="P27" s="339"/>
      <x:c r="Q27" s="339"/>
      <x:c r="R27" s="339"/>
      <x:c r="S27" s="339"/>
      <x:c r="T27" s="339"/>
      <x:c r="U27" s="339"/>
      <x:c r="V27" s="339"/>
      <x:c r="W27" s="339"/>
      <x:c r="X27" s="339"/>
      <x:c r="Y27" s="339"/>
      <x:c r="Z27" s="339"/>
    </x:row>
    <x:row r="28">
      <x:c r="A28" s="373" t="str">
        <x:v>Schools, mentoring &amp; access subtotal</x:v>
      </x:c>
      <x:c r="B28" s="373"/>
      <x:c r="C28" s="373"/>
      <x:c r="D28" s="373"/>
      <x:c r="E28" s="420" t="n">
        <x:f>SUM(E26:E27)</x:f>
        <x:v>11793575</x:v>
      </x:c>
      <x:c r="F28" s="420" t="n">
        <x:f>SUM(F26:F27)</x:f>
        <x:v>35380725</x:v>
      </x:c>
      <x:c r="G28" s="420" t="n">
        <x:f>SUM(G26:G27)</x:f>
        <x:v>70761450</x:v>
      </x:c>
      <x:c r="H28" s="420" t="n">
        <x:f>SUM(H26:H27)</x:f>
        <x:v>100245387.5</x:v>
      </x:c>
      <x:c r="I28" s="420" t="n">
        <x:f>SUM(I26:I27)</x:f>
        <x:v>117935750</x:v>
      </x:c>
      <x:c r="J28" s="420" t="n">
        <x:f>SUM(J26:J27)</x:f>
        <x:v>336116887.5</x:v>
      </x:c>
      <x:c r="K28" s="420" t="n">
        <x:f>SUM(K26:K27)</x:f>
        <x:v>117935750</x:v>
      </x:c>
      <x:c r="L28" s="373"/>
      <x:c r="M28" s="373"/>
      <x:c r="N28" s="373"/>
      <x:c r="O28" s="339"/>
      <x:c r="P28" s="339"/>
      <x:c r="Q28" s="339"/>
      <x:c r="R28" s="339"/>
      <x:c r="S28" s="339"/>
      <x:c r="T28" s="339"/>
      <x:c r="U28" s="339"/>
      <x:c r="V28" s="339"/>
      <x:c r="W28" s="339"/>
      <x:c r="X28" s="339"/>
      <x:c r="Y28" s="339"/>
      <x:c r="Z28" s="339"/>
    </x:row>
    <x:row r="29">
      <x:c r="A29" s="28"/>
      <x:c r="B29" s="28"/>
      <x:c r="C29" s="28"/>
      <x:c r="D29" s="28"/>
      <x:c r="E29" s="423"/>
      <x:c r="F29" s="423"/>
      <x:c r="G29" s="423"/>
      <x:c r="H29" s="423"/>
      <x:c r="I29" s="423"/>
      <x:c r="J29" s="423"/>
      <x:c r="K29" s="423"/>
      <x:c r="L29" s="28"/>
      <x:c r="M29" s="28"/>
      <x:c r="N29" s="28"/>
      <x:c r="O29" s="339"/>
      <x:c r="P29" s="339"/>
      <x:c r="Q29" s="339"/>
      <x:c r="R29" s="339"/>
      <x:c r="S29" s="339"/>
      <x:c r="T29" s="339"/>
      <x:c r="U29" s="339"/>
      <x:c r="V29" s="339"/>
      <x:c r="W29" s="339"/>
      <x:c r="X29" s="339"/>
      <x:c r="Y29" s="339"/>
      <x:c r="Z29" s="339"/>
    </x:row>
    <x:row r="30" ht="21" customHeight="1">
      <x:c r="A30" s="368" t="str">
        <x:v>Technology &amp; payment services</x:v>
      </x:c>
      <x:c r="B30" s="368" t="str">
        <x:v>Technology &amp; payment services</x:v>
      </x:c>
      <x:c r="C30" s="368" t="str">
        <x:v>Technology &amp; payment services</x:v>
      </x:c>
      <x:c r="D30" s="368" t="str">
        <x:v>Technology &amp; payment services</x:v>
      </x:c>
      <x:c r="E30" s="413" t="str">
        <x:v>Technology &amp; payment services</x:v>
      </x:c>
      <x:c r="F30" s="413" t="str">
        <x:v>Technology &amp; payment services</x:v>
      </x:c>
      <x:c r="G30" s="413" t="str">
        <x:v>Technology &amp; payment services</x:v>
      </x:c>
      <x:c r="H30" s="413" t="str">
        <x:v>Technology &amp; payment services</x:v>
      </x:c>
      <x:c r="I30" s="413" t="str">
        <x:v>Technology &amp; payment services</x:v>
      </x:c>
      <x:c r="J30" s="413" t="str">
        <x:v>Technology &amp; payment services</x:v>
      </x:c>
      <x:c r="K30" s="413" t="str">
        <x:v>Technology &amp; payment services</x:v>
      </x:c>
      <x:c r="L30" s="368" t="str">
        <x:v>Technology &amp; payment services</x:v>
      </x:c>
      <x:c r="M30" s="368" t="str">
        <x:v>Technology &amp; payment services</x:v>
      </x:c>
      <x:c r="N30" s="368" t="str">
        <x:v>Technology &amp; payment services</x:v>
      </x:c>
      <x:c r="O30" s="339"/>
      <x:c r="P30" s="339"/>
      <x:c r="Q30" s="339"/>
      <x:c r="R30" s="339"/>
      <x:c r="S30" s="339"/>
      <x:c r="T30" s="339"/>
      <x:c r="U30" s="339"/>
      <x:c r="V30" s="339"/>
      <x:c r="W30" s="339"/>
      <x:c r="X30" s="339"/>
      <x:c r="Y30" s="339"/>
      <x:c r="Z30" s="339"/>
    </x:row>
    <x:row r="31">
      <x:c r="A31" s="28" t="str">
        <x:v>Technology &amp; payment services</x:v>
      </x:c>
      <x:c r="B31" s="28" t="str">
        <x:v>National platform and integration enhancement</x:v>
      </x:c>
      <x:c r="C31" s="28" t="str">
        <x:v>$30m → $12m as rollout matures</x:v>
      </x:c>
      <x:c r="D31" s="28" t="str">
        <x:v>NZD/year</x:v>
      </x:c>
      <x:c r="E31" s="416" t="n">
        <x:f>30000000</x:f>
        <x:v>30000000</x:v>
      </x:c>
      <x:c r="F31" s="416" t="n">
        <x:f>25000000</x:f>
        <x:v>25000000</x:v>
      </x:c>
      <x:c r="G31" s="416" t="n">
        <x:f>20000000</x:f>
        <x:v>20000000</x:v>
      </x:c>
      <x:c r="H31" s="416" t="n">
        <x:f>15000000</x:f>
        <x:v>15000000</x:v>
      </x:c>
      <x:c r="I31" s="416" t="n">
        <x:f>12000000</x:f>
        <x:v>12000000</x:v>
      </x:c>
      <x:c r="J31" s="416" t="n">
        <x:f>SUM(E31:I31)</x:f>
        <x:v>102000000</x:v>
      </x:c>
      <x:c r="K31" s="416" t="n">
        <x:f>I31</x:f>
        <x:v>12000000</x:v>
      </x:c>
      <x:c r="L31" s="35" t="str">
        <x:v>A04;S16;S18;S19</x:v>
      </x:c>
      <x:c r="M31" s="35" t="str">
        <x:v>Quote required</x:v>
      </x:c>
      <x:c r="N31" s="35" t="str">
        <x:v>Production scale, security and integrations.</x:v>
      </x:c>
      <x:c r="O31" s="339"/>
      <x:c r="P31" s="339"/>
      <x:c r="Q31" s="339"/>
      <x:c r="R31" s="339"/>
      <x:c r="S31" s="339"/>
      <x:c r="T31" s="339"/>
      <x:c r="U31" s="339"/>
      <x:c r="V31" s="339"/>
      <x:c r="W31" s="339"/>
      <x:c r="X31" s="339"/>
      <x:c r="Y31" s="339"/>
      <x:c r="Z31" s="339"/>
    </x:row>
    <x:row r="32">
      <x:c r="A32" s="28" t="str">
        <x:v>Technology &amp; payment services</x:v>
      </x:c>
      <x:c r="B32" s="28" t="str">
        <x:v>Cloud, security operations and software</x:v>
      </x:c>
      <x:c r="C32" s="28" t="str">
        <x:v>$4m base + active students × $25</x:v>
      </x:c>
      <x:c r="D32" s="28" t="str">
        <x:v>NZD/year</x:v>
      </x:c>
      <x:c r="E32" s="416" t="n">
        <x:f>4000000+(Assumptions!$E$32*0.1)*25</x:f>
        <x:v>4779357.5</x:v>
      </x:c>
      <x:c r="F32" s="416" t="n">
        <x:f>4000000+(Assumptions!$E$32*0.3)*25</x:f>
        <x:v>6338072.5</x:v>
      </x:c>
      <x:c r="G32" s="416" t="n">
        <x:f>4000000+(Assumptions!$E$32*0.6)*25</x:f>
        <x:v>8676145</x:v>
      </x:c>
      <x:c r="H32" s="416" t="n">
        <x:f>4000000+(Assumptions!$E$32*0.85)*25</x:f>
        <x:v>10624538.75</x:v>
      </x:c>
      <x:c r="I32" s="416" t="n">
        <x:f>4000000+(Assumptions!$E$32*1.0)*25</x:f>
        <x:v>11793575</x:v>
      </x:c>
      <x:c r="J32" s="416" t="n">
        <x:f>SUM(E32:I32)</x:f>
        <x:v>42211688.75</x:v>
      </x:c>
      <x:c r="K32" s="416" t="n">
        <x:f>I32</x:f>
        <x:v>11793575</x:v>
      </x:c>
      <x:c r="L32" s="35" t="str">
        <x:v>A04;S19;S20</x:v>
      </x:c>
      <x:c r="M32" s="35" t="str">
        <x:v>Quote required</x:v>
      </x:c>
      <x:c r="N32" s="35" t="str">
        <x:v>Architecture and usage sensitive.</x:v>
      </x:c>
      <x:c r="O32" s="339"/>
      <x:c r="P32" s="339"/>
      <x:c r="Q32" s="339"/>
      <x:c r="R32" s="339"/>
      <x:c r="S32" s="339"/>
      <x:c r="T32" s="339"/>
      <x:c r="U32" s="339"/>
      <x:c r="V32" s="339"/>
      <x:c r="W32" s="339"/>
      <x:c r="X32" s="339"/>
      <x:c r="Y32" s="339"/>
      <x:c r="Z32" s="339"/>
    </x:row>
    <x:row r="33">
      <x:c r="A33" s="28" t="str">
        <x:v>Technology &amp; payment services</x:v>
      </x:c>
      <x:c r="B33" s="28" t="str">
        <x:v>Immediate-payment and Learning Capital administration</x:v>
      </x:c>
      <x:c r="C33" s="28" t="str">
        <x:v>Active students × $60</x:v>
      </x:c>
      <x:c r="D33" s="28" t="str">
        <x:v>NZD/year</x:v>
      </x:c>
      <x:c r="E33" s="416" t="n">
        <x:f>(Assumptions!$E$32*0.1)*60</x:f>
        <x:v>1870458.0000000002</x:v>
      </x:c>
      <x:c r="F33" s="416" t="n">
        <x:f>(Assumptions!$E$32*0.3)*60</x:f>
        <x:v>5611374</x:v>
      </x:c>
      <x:c r="G33" s="416" t="n">
        <x:f>(Assumptions!$E$32*0.6)*60</x:f>
        <x:v>11222748</x:v>
      </x:c>
      <x:c r="H33" s="416" t="n">
        <x:f>(Assumptions!$E$32*0.85)*60</x:f>
        <x:v>15898893</x:v>
      </x:c>
      <x:c r="I33" s="416" t="n">
        <x:f>(Assumptions!$E$32*1.0)*60</x:f>
        <x:v>18704580</x:v>
      </x:c>
      <x:c r="J33" s="416" t="n">
        <x:f>SUM(E33:I33)</x:f>
        <x:v>53308053</x:v>
      </x:c>
      <x:c r="K33" s="416" t="n">
        <x:f>I33</x:f>
        <x:v>18704580</x:v>
      </x:c>
      <x:c r="L33" s="35" t="str">
        <x:v>A05;S18</x:v>
      </x:c>
      <x:c r="M33" s="35" t="str">
        <x:v>Formal quote required</x:v>
      </x:c>
      <x:c r="N33" s="35" t="str">
        <x:v>The allowance includes transaction administration; provider, custody and agency prices require formal procurement evidence.</x:v>
      </x:c>
      <x:c r="O33" s="339"/>
      <x:c r="P33" s="339"/>
      <x:c r="Q33" s="339"/>
      <x:c r="R33" s="339"/>
      <x:c r="S33" s="339"/>
      <x:c r="T33" s="339"/>
      <x:c r="U33" s="339"/>
      <x:c r="V33" s="339"/>
      <x:c r="W33" s="339"/>
      <x:c r="X33" s="339"/>
      <x:c r="Y33" s="339"/>
      <x:c r="Z33" s="339"/>
    </x:row>
    <x:row r="34">
      <x:c r="A34" s="373" t="str">
        <x:v>Technology &amp; payment services subtotal</x:v>
      </x:c>
      <x:c r="B34" s="373"/>
      <x:c r="C34" s="373"/>
      <x:c r="D34" s="373"/>
      <x:c r="E34" s="420" t="n">
        <x:f>SUM(E31:E33)</x:f>
        <x:v>36649815.5</x:v>
      </x:c>
      <x:c r="F34" s="420" t="n">
        <x:f>SUM(F31:F33)</x:f>
        <x:v>36949446.5</x:v>
      </x:c>
      <x:c r="G34" s="420" t="n">
        <x:f>SUM(G31:G33)</x:f>
        <x:v>39898893</x:v>
      </x:c>
      <x:c r="H34" s="420" t="n">
        <x:f>SUM(H31:H33)</x:f>
        <x:v>41523431.75</x:v>
      </x:c>
      <x:c r="I34" s="420" t="n">
        <x:f>SUM(I31:I33)</x:f>
        <x:v>42498155</x:v>
      </x:c>
      <x:c r="J34" s="420" t="n">
        <x:f>SUM(J31:J33)</x:f>
        <x:v>197519741.75</x:v>
      </x:c>
      <x:c r="K34" s="420" t="n">
        <x:f>SUM(K31:K33)</x:f>
        <x:v>42498155</x:v>
      </x:c>
      <x:c r="L34" s="373"/>
      <x:c r="M34" s="373"/>
      <x:c r="N34" s="373"/>
      <x:c r="O34" s="339"/>
      <x:c r="P34" s="339"/>
      <x:c r="Q34" s="339"/>
      <x:c r="R34" s="339"/>
      <x:c r="S34" s="339"/>
      <x:c r="T34" s="339"/>
      <x:c r="U34" s="339"/>
      <x:c r="V34" s="339"/>
      <x:c r="W34" s="339"/>
      <x:c r="X34" s="339"/>
      <x:c r="Y34" s="339"/>
      <x:c r="Z34" s="339"/>
    </x:row>
    <x:row r="35">
      <x:c r="A35" s="28"/>
      <x:c r="B35" s="28"/>
      <x:c r="C35" s="28"/>
      <x:c r="D35" s="28"/>
      <x:c r="E35" s="423"/>
      <x:c r="F35" s="423"/>
      <x:c r="G35" s="423"/>
      <x:c r="H35" s="423"/>
      <x:c r="I35" s="423"/>
      <x:c r="J35" s="423"/>
      <x:c r="K35" s="423"/>
      <x:c r="L35" s="28"/>
      <x:c r="M35" s="28"/>
      <x:c r="N35" s="28"/>
      <x:c r="O35" s="339"/>
      <x:c r="P35" s="339"/>
      <x:c r="Q35" s="339"/>
      <x:c r="R35" s="339"/>
      <x:c r="S35" s="339"/>
      <x:c r="T35" s="339"/>
      <x:c r="U35" s="339"/>
      <x:c r="V35" s="339"/>
      <x:c r="W35" s="339"/>
      <x:c r="X35" s="339"/>
      <x:c r="Y35" s="339"/>
      <x:c r="Z35" s="339"/>
    </x:row>
    <x:row r="36" ht="21" customHeight="1">
      <x:c r="A36" s="368" t="str">
        <x:v>Evaluation, governance &amp; assurance</x:v>
      </x:c>
      <x:c r="B36" s="368" t="str">
        <x:v>Evaluation, governance &amp; assurance</x:v>
      </x:c>
      <x:c r="C36" s="368" t="str">
        <x:v>Evaluation, governance &amp; assurance</x:v>
      </x:c>
      <x:c r="D36" s="368" t="str">
        <x:v>Evaluation, governance &amp; assurance</x:v>
      </x:c>
      <x:c r="E36" s="413" t="str">
        <x:v>Evaluation, governance &amp; assurance</x:v>
      </x:c>
      <x:c r="F36" s="413" t="str">
        <x:v>Evaluation, governance &amp; assurance</x:v>
      </x:c>
      <x:c r="G36" s="413" t="str">
        <x:v>Evaluation, governance &amp; assurance</x:v>
      </x:c>
      <x:c r="H36" s="413" t="str">
        <x:v>Evaluation, governance &amp; assurance</x:v>
      </x:c>
      <x:c r="I36" s="413" t="str">
        <x:v>Evaluation, governance &amp; assurance</x:v>
      </x:c>
      <x:c r="J36" s="413" t="str">
        <x:v>Evaluation, governance &amp; assurance</x:v>
      </x:c>
      <x:c r="K36" s="413" t="str">
        <x:v>Evaluation, governance &amp; assurance</x:v>
      </x:c>
      <x:c r="L36" s="368" t="str">
        <x:v>Evaluation, governance &amp; assurance</x:v>
      </x:c>
      <x:c r="M36" s="368" t="str">
        <x:v>Evaluation, governance &amp; assurance</x:v>
      </x:c>
      <x:c r="N36" s="368" t="str">
        <x:v>Evaluation, governance &amp; assurance</x:v>
      </x:c>
      <x:c r="O36" s="339"/>
      <x:c r="P36" s="339"/>
      <x:c r="Q36" s="339"/>
      <x:c r="R36" s="339"/>
      <x:c r="S36" s="339"/>
      <x:c r="T36" s="339"/>
      <x:c r="U36" s="339"/>
      <x:c r="V36" s="339"/>
      <x:c r="W36" s="339"/>
      <x:c r="X36" s="339"/>
      <x:c r="Y36" s="339"/>
      <x:c r="Z36" s="339"/>
    </x:row>
    <x:row r="37">
      <x:c r="A37" s="28" t="str">
        <x:v>Evaluation, governance &amp; assurance</x:v>
      </x:c>
      <x:c r="B37" s="28" t="str">
        <x:v>Independent evaluation and data monitoring</x:v>
      </x:c>
      <x:c r="C37" s="28" t="str">
        <x:v>$8m base + $4m × rollout share</x:v>
      </x:c>
      <x:c r="D37" s="28" t="str">
        <x:v>NZD/year</x:v>
      </x:c>
      <x:c r="E37" s="416" t="n">
        <x:f>8000000+4000000*0.1</x:f>
        <x:v>8400000</x:v>
      </x:c>
      <x:c r="F37" s="416" t="n">
        <x:f>8000000+4000000*0.3</x:f>
        <x:v>9200000</x:v>
      </x:c>
      <x:c r="G37" s="416" t="n">
        <x:f>8000000+4000000*0.6</x:f>
        <x:v>10400000</x:v>
      </x:c>
      <x:c r="H37" s="416" t="n">
        <x:f>8000000+4000000*0.85</x:f>
        <x:v>11400000</x:v>
      </x:c>
      <x:c r="I37" s="416" t="n">
        <x:f>8000000+4000000*1.0</x:f>
        <x:v>12000000</x:v>
      </x:c>
      <x:c r="J37" s="416" t="n">
        <x:f>SUM(E37:I37)</x:f>
        <x:v>51400000</x:v>
      </x:c>
      <x:c r="K37" s="416" t="n">
        <x:f>I37</x:f>
        <x:v>12000000</x:v>
      </x:c>
      <x:c r="L37" s="35" t="str">
        <x:v>S04;S05</x:v>
      </x:c>
      <x:c r="M37" s="35" t="str">
        <x:v>Model allowance</x:v>
      </x:c>
      <x:c r="N37" s="35" t="str">
        <x:v>Includes long-term outcome linkage.</x:v>
      </x:c>
      <x:c r="O37" s="339"/>
      <x:c r="P37" s="339"/>
      <x:c r="Q37" s="339"/>
      <x:c r="R37" s="339"/>
      <x:c r="S37" s="339"/>
      <x:c r="T37" s="339"/>
      <x:c r="U37" s="339"/>
      <x:c r="V37" s="339"/>
      <x:c r="W37" s="339"/>
      <x:c r="X37" s="339"/>
      <x:c r="Y37" s="339"/>
      <x:c r="Z37" s="339"/>
    </x:row>
    <x:row r="38">
      <x:c r="A38" s="28" t="str">
        <x:v>Evaluation, governance &amp; assurance</x:v>
      </x:c>
      <x:c r="B38" s="28" t="str">
        <x:v>National governance and ongoing co-design</x:v>
      </x:c>
      <x:c r="C38" s="28" t="str">
        <x:v>$4m base + $4m × rollout share</x:v>
      </x:c>
      <x:c r="D38" s="28" t="str">
        <x:v>NZD/year</x:v>
      </x:c>
      <x:c r="E38" s="416" t="n">
        <x:f>4000000+4000000*0.1</x:f>
        <x:v>4400000</x:v>
      </x:c>
      <x:c r="F38" s="416" t="n">
        <x:f>4000000+4000000*0.3</x:f>
        <x:v>5200000</x:v>
      </x:c>
      <x:c r="G38" s="416" t="n">
        <x:f>4000000+4000000*0.6</x:f>
        <x:v>6400000</x:v>
      </x:c>
      <x:c r="H38" s="416" t="n">
        <x:f>4000000+4000000*0.85</x:f>
        <x:v>7400000</x:v>
      </x:c>
      <x:c r="I38" s="416" t="n">
        <x:f>4000000+4000000*1.0</x:f>
        <x:v>8000000</x:v>
      </x:c>
      <x:c r="J38" s="416" t="n">
        <x:f>SUM(E38:I38)</x:f>
        <x:v>31400000</x:v>
      </x:c>
      <x:c r="K38" s="416" t="n">
        <x:f>I38</x:f>
        <x:v>8000000</x:v>
      </x:c>
      <x:c r="L38" s="35" t="str">
        <x:v>S14;A02</x:v>
      </x:c>
      <x:c r="M38" s="35" t="str">
        <x:v>Model allowance</x:v>
      </x:c>
      <x:c r="N38" s="35" t="str">
        <x:v>Partner-led budget required.</x:v>
      </x:c>
      <x:c r="O38" s="339"/>
      <x:c r="P38" s="339"/>
      <x:c r="Q38" s="339"/>
      <x:c r="R38" s="339"/>
      <x:c r="S38" s="339"/>
      <x:c r="T38" s="339"/>
      <x:c r="U38" s="339"/>
      <x:c r="V38" s="339"/>
      <x:c r="W38" s="339"/>
      <x:c r="X38" s="339"/>
      <x:c r="Y38" s="339"/>
      <x:c r="Z38" s="339"/>
    </x:row>
    <x:row r="39">
      <x:c r="A39" s="28" t="str">
        <x:v>Evaluation, governance &amp; assurance</x:v>
      </x:c>
      <x:c r="B39" s="28" t="str">
        <x:v>Legal, privacy, cyber assurance, audit and reporting</x:v>
      </x:c>
      <x:c r="C39" s="28" t="str">
        <x:v>$4m base + $4m × rollout share</x:v>
      </x:c>
      <x:c r="D39" s="28" t="str">
        <x:v>NZD/year</x:v>
      </x:c>
      <x:c r="E39" s="416" t="n">
        <x:f>4000000+4000000*0.1</x:f>
        <x:v>4400000</x:v>
      </x:c>
      <x:c r="F39" s="416" t="n">
        <x:f>4000000+4000000*0.3</x:f>
        <x:v>5200000</x:v>
      </x:c>
      <x:c r="G39" s="416" t="n">
        <x:f>4000000+4000000*0.6</x:f>
        <x:v>6400000</x:v>
      </x:c>
      <x:c r="H39" s="416" t="n">
        <x:f>4000000+4000000*0.85</x:f>
        <x:v>7400000</x:v>
      </x:c>
      <x:c r="I39" s="416" t="n">
        <x:f>4000000+4000000*1.0</x:f>
        <x:v>8000000</x:v>
      </x:c>
      <x:c r="J39" s="416" t="n">
        <x:f>SUM(E39:I39)</x:f>
        <x:v>31400000</x:v>
      </x:c>
      <x:c r="K39" s="416" t="n">
        <x:f>I39</x:f>
        <x:v>8000000</x:v>
      </x:c>
      <x:c r="L39" s="35" t="str">
        <x:v>S15;S16</x:v>
      </x:c>
      <x:c r="M39" s="35" t="str">
        <x:v>Model allowance</x:v>
      </x:c>
      <x:c r="N39" s="35" t="str">
        <x:v>Scope depends on legal and technical design.</x:v>
      </x:c>
      <x:c r="O39" s="339"/>
      <x:c r="P39" s="339"/>
      <x:c r="Q39" s="339"/>
      <x:c r="R39" s="339"/>
      <x:c r="S39" s="339"/>
      <x:c r="T39" s="339"/>
      <x:c r="U39" s="339"/>
      <x:c r="V39" s="339"/>
      <x:c r="W39" s="339"/>
      <x:c r="X39" s="339"/>
      <x:c r="Y39" s="339"/>
      <x:c r="Z39" s="339"/>
    </x:row>
    <x:row r="40">
      <x:c r="A40" s="373" t="str">
        <x:v>Evaluation, governance &amp; assurance subtotal</x:v>
      </x:c>
      <x:c r="B40" s="373"/>
      <x:c r="C40" s="373"/>
      <x:c r="D40" s="373"/>
      <x:c r="E40" s="420" t="n">
        <x:f>SUM(E37:E39)</x:f>
        <x:v>17200000</x:v>
      </x:c>
      <x:c r="F40" s="420" t="n">
        <x:f>SUM(F37:F39)</x:f>
        <x:v>19600000</x:v>
      </x:c>
      <x:c r="G40" s="420" t="n">
        <x:f>SUM(G37:G39)</x:f>
        <x:v>23200000</x:v>
      </x:c>
      <x:c r="H40" s="420" t="n">
        <x:f>SUM(H37:H39)</x:f>
        <x:v>26200000</x:v>
      </x:c>
      <x:c r="I40" s="420" t="n">
        <x:f>SUM(I37:I39)</x:f>
        <x:v>28000000</x:v>
      </x:c>
      <x:c r="J40" s="420" t="n">
        <x:f>SUM(J37:J39)</x:f>
        <x:v>114200000</x:v>
      </x:c>
      <x:c r="K40" s="420" t="n">
        <x:f>SUM(K37:K39)</x:f>
        <x:v>28000000</x:v>
      </x:c>
      <x:c r="L40" s="373"/>
      <x:c r="M40" s="373"/>
      <x:c r="N40" s="373"/>
      <x:c r="O40" s="339"/>
      <x:c r="P40" s="339"/>
      <x:c r="Q40" s="339"/>
      <x:c r="R40" s="339"/>
      <x:c r="S40" s="339"/>
      <x:c r="T40" s="339"/>
      <x:c r="U40" s="339"/>
      <x:c r="V40" s="339"/>
      <x:c r="W40" s="339"/>
      <x:c r="X40" s="339"/>
      <x:c r="Y40" s="339"/>
      <x:c r="Z40" s="339"/>
    </x:row>
    <x:row r="41">
      <x:c r="A41" s="28"/>
      <x:c r="B41" s="28"/>
      <x:c r="C41" s="28"/>
      <x:c r="D41" s="28"/>
      <x:c r="E41" s="423"/>
      <x:c r="F41" s="423"/>
      <x:c r="G41" s="423"/>
      <x:c r="H41" s="423"/>
      <x:c r="I41" s="423"/>
      <x:c r="J41" s="423"/>
      <x:c r="K41" s="423"/>
      <x:c r="L41" s="28"/>
      <x:c r="M41" s="28"/>
      <x:c r="N41" s="28"/>
      <x:c r="O41" s="339"/>
      <x:c r="P41" s="339"/>
      <x:c r="Q41" s="339"/>
      <x:c r="R41" s="339"/>
      <x:c r="S41" s="339"/>
      <x:c r="T41" s="339"/>
      <x:c r="U41" s="339"/>
      <x:c r="V41" s="339"/>
      <x:c r="W41" s="339"/>
      <x:c r="X41" s="339"/>
      <x:c r="Y41" s="339"/>
      <x:c r="Z41" s="339"/>
    </x:row>
    <x:row r="42" ht="21" customHeight="1">
      <x:c r="A42" s="368" t="str">
        <x:v>Temporary rollout costs</x:v>
      </x:c>
      <x:c r="B42" s="368" t="str">
        <x:v>Temporary rollout costs</x:v>
      </x:c>
      <x:c r="C42" s="368" t="str">
        <x:v>Temporary rollout costs</x:v>
      </x:c>
      <x:c r="D42" s="368" t="str">
        <x:v>Temporary rollout costs</x:v>
      </x:c>
      <x:c r="E42" s="413" t="str">
        <x:v>Temporary rollout costs</x:v>
      </x:c>
      <x:c r="F42" s="413" t="str">
        <x:v>Temporary rollout costs</x:v>
      </x:c>
      <x:c r="G42" s="413" t="str">
        <x:v>Temporary rollout costs</x:v>
      </x:c>
      <x:c r="H42" s="413" t="str">
        <x:v>Temporary rollout costs</x:v>
      </x:c>
      <x:c r="I42" s="413" t="str">
        <x:v>Temporary rollout costs</x:v>
      </x:c>
      <x:c r="J42" s="413" t="str">
        <x:v>Temporary rollout costs</x:v>
      </x:c>
      <x:c r="K42" s="413" t="str">
        <x:v>Temporary rollout costs</x:v>
      </x:c>
      <x:c r="L42" s="368" t="str">
        <x:v>Temporary rollout costs</x:v>
      </x:c>
      <x:c r="M42" s="368" t="str">
        <x:v>Temporary rollout costs</x:v>
      </x:c>
      <x:c r="N42" s="368" t="str">
        <x:v>Temporary rollout costs</x:v>
      </x:c>
      <x:c r="O42" s="339"/>
      <x:c r="P42" s="339"/>
      <x:c r="Q42" s="339"/>
      <x:c r="R42" s="339"/>
      <x:c r="S42" s="339"/>
      <x:c r="T42" s="339"/>
      <x:c r="U42" s="339"/>
      <x:c r="V42" s="339"/>
      <x:c r="W42" s="339"/>
      <x:c r="X42" s="339"/>
      <x:c r="Y42" s="339"/>
      <x:c r="Z42" s="339"/>
    </x:row>
    <x:row r="43">
      <x:c r="A43" s="28" t="str">
        <x:v>Temporary rollout costs</x:v>
      </x:c>
      <x:c r="B43" s="28" t="str">
        <x:v>New-school onboarding and change management</x:v>
      </x:c>
      <x:c r="C43" s="28" t="str">
        <x:v>Newly activated schools × $100,000</x:v>
      </x:c>
      <x:c r="D43" s="28" t="str">
        <x:v>NZD/year</x:v>
      </x:c>
      <x:c r="E43" s="416" t="n">
        <x:f>(Assumptions!$E$34*(0.1-0))*100000</x:f>
        <x:v>5000000</x:v>
      </x:c>
      <x:c r="F43" s="416" t="n">
        <x:f>(Assumptions!$E$34*(0.3-0.1))*100000</x:f>
        <x:v>9999999.999999998</x:v>
      </x:c>
      <x:c r="G43" s="416" t="n">
        <x:f>(Assumptions!$E$34*(0.6-0.3))*100000</x:f>
        <x:v>15000000</x:v>
      </x:c>
      <x:c r="H43" s="416" t="n">
        <x:f>(Assumptions!$E$34*(0.85-0.6))*100000</x:f>
        <x:v>12500000</x:v>
      </x:c>
      <x:c r="I43" s="416" t="n">
        <x:f>(Assumptions!$E$34*(1.0-0.85))*100000</x:f>
        <x:v>7500000.000000002</x:v>
      </x:c>
      <x:c r="J43" s="416" t="n">
        <x:f>SUM(E43:I43)</x:f>
        <x:v>50000000</x:v>
      </x:c>
      <x:c r="K43" s="416" t="n">
        <x:v>0</x:v>
      </x:c>
      <x:c r="L43" s="35" t="str">
        <x:v>A03;S07</x:v>
      </x:c>
      <x:c r="M43" s="35" t="str">
        <x:v>Planning allowance</x:v>
      </x:c>
      <x:c r="N43" s="35" t="str">
        <x:v>Temporary and excluded from mature run-rate.</x:v>
      </x:c>
      <x:c r="O43" s="339"/>
      <x:c r="P43" s="339"/>
      <x:c r="Q43" s="339"/>
      <x:c r="R43" s="339"/>
      <x:c r="S43" s="339"/>
      <x:c r="T43" s="339"/>
      <x:c r="U43" s="339"/>
      <x:c r="V43" s="339"/>
      <x:c r="W43" s="339"/>
      <x:c r="X43" s="339"/>
      <x:c r="Y43" s="339"/>
      <x:c r="Z43" s="339"/>
    </x:row>
    <x:row r="44">
      <x:c r="A44" s="373" t="str">
        <x:v>Temporary rollout costs subtotal</x:v>
      </x:c>
      <x:c r="B44" s="373"/>
      <x:c r="C44" s="373"/>
      <x:c r="D44" s="373"/>
      <x:c r="E44" s="420" t="n">
        <x:f>SUM(E43:E43)</x:f>
        <x:v>5000000</x:v>
      </x:c>
      <x:c r="F44" s="420" t="n">
        <x:f>SUM(F43:F43)</x:f>
        <x:v>9999999.999999998</x:v>
      </x:c>
      <x:c r="G44" s="420" t="n">
        <x:f>SUM(G43:G43)</x:f>
        <x:v>15000000</x:v>
      </x:c>
      <x:c r="H44" s="420" t="n">
        <x:f>SUM(H43:H43)</x:f>
        <x:v>12500000</x:v>
      </x:c>
      <x:c r="I44" s="420" t="n">
        <x:f>SUM(I43:I43)</x:f>
        <x:v>7500000.000000002</x:v>
      </x:c>
      <x:c r="J44" s="420" t="n">
        <x:f>SUM(J43:J43)</x:f>
        <x:v>50000000</x:v>
      </x:c>
      <x:c r="K44" s="420" t="n">
        <x:f>SUM(K43:K43)</x:f>
        <x:v>0</x:v>
      </x:c>
      <x:c r="L44" s="373"/>
      <x:c r="M44" s="373"/>
      <x:c r="N44" s="373"/>
      <x:c r="O44" s="339"/>
      <x:c r="P44" s="339"/>
      <x:c r="Q44" s="339"/>
      <x:c r="R44" s="339"/>
      <x:c r="S44" s="339"/>
      <x:c r="T44" s="339"/>
      <x:c r="U44" s="339"/>
      <x:c r="V44" s="339"/>
      <x:c r="W44" s="339"/>
      <x:c r="X44" s="339"/>
      <x:c r="Y44" s="339"/>
      <x:c r="Z44" s="339"/>
    </x:row>
    <x:row r="45">
      <x:c r="A45" s="28"/>
      <x:c r="B45" s="28"/>
      <x:c r="C45" s="28"/>
      <x:c r="D45" s="28"/>
      <x:c r="E45" s="423"/>
      <x:c r="F45" s="423"/>
      <x:c r="G45" s="423"/>
      <x:c r="H45" s="423"/>
      <x:c r="I45" s="423"/>
      <x:c r="J45" s="423"/>
      <x:c r="K45" s="423"/>
      <x:c r="L45" s="28"/>
      <x:c r="M45" s="28"/>
      <x:c r="N45" s="28"/>
      <x:c r="O45" s="339"/>
      <x:c r="P45" s="339"/>
      <x:c r="Q45" s="339"/>
      <x:c r="R45" s="339"/>
      <x:c r="S45" s="339"/>
      <x:c r="T45" s="339"/>
      <x:c r="U45" s="339"/>
      <x:c r="V45" s="339"/>
      <x:c r="W45" s="339"/>
      <x:c r="X45" s="339"/>
      <x:c r="Y45" s="339"/>
      <x:c r="Z45" s="339"/>
    </x:row>
    <x:row r="46">
      <x:c r="A46" s="379" t="str">
        <x:v>Non-stipend subtotal before contingency</x:v>
      </x:c>
      <x:c r="B46" s="379"/>
      <x:c r="C46" s="379"/>
      <x:c r="D46" s="379"/>
      <x:c r="E46" s="427" t="n">
        <x:f>E23+E28+E34+E40+E44</x:f>
        <x:v>84404729.91666667</x:v>
      </x:c>
      <x:c r="F46" s="427" t="n">
        <x:f>F23+F28+F34+F40+F44</x:f>
        <x:v>133454189.75</x:v>
      </x:c>
      <x:c r="G46" s="427" t="n">
        <x:f>G23+G28+G34+G40+G44</x:f>
        <x:v>207028379.5</x:v>
      </x:c>
      <x:c r="H46" s="427" t="n">
        <x:f>H23+H28+H34+H40+H44</x:f>
        <x:v>260840204.29166666</x:v>
      </x:c>
      <x:c r="I46" s="427" t="n">
        <x:f>I23+I28+I34+I40+I44</x:f>
        <x:v>289627299.1666667</x:v>
      </x:c>
      <x:c r="J46" s="427" t="n">
        <x:f>J23+J28+J34+J40+J44</x:f>
        <x:v>975354802.625</x:v>
      </x:c>
      <x:c r="K46" s="427" t="n">
        <x:f>K23+K28+K34+K40+K44</x:f>
        <x:v>282127299.1666667</x:v>
      </x:c>
      <x:c r="L46" s="379"/>
      <x:c r="M46" s="379"/>
      <x:c r="N46" s="379"/>
      <x:c r="O46" s="339"/>
      <x:c r="P46" s="339"/>
      <x:c r="Q46" s="339"/>
      <x:c r="R46" s="339"/>
      <x:c r="S46" s="339"/>
      <x:c r="T46" s="339"/>
      <x:c r="U46" s="339"/>
      <x:c r="V46" s="339"/>
      <x:c r="W46" s="339"/>
      <x:c r="X46" s="339"/>
      <x:c r="Y46" s="339"/>
      <x:c r="Z46" s="339"/>
    </x:row>
    <x:row r="47">
      <x:c r="A47" s="373" t="str">
        <x:v>Contingency on non-stipend costs</x:v>
      </x:c>
      <x:c r="B47" s="373"/>
      <x:c r="C47" s="373"/>
      <x:c r="D47" s="373"/>
      <x:c r="E47" s="420" t="n">
        <x:f>E46*Assumptions!$E$14</x:f>
        <x:v>8440472.991666667</x:v>
      </x:c>
      <x:c r="F47" s="420" t="n">
        <x:f>F46*Assumptions!$E$14</x:f>
        <x:v>13345418.975000001</x:v>
      </x:c>
      <x:c r="G47" s="420" t="n">
        <x:f>G46*Assumptions!$E$14</x:f>
        <x:v>20702837.950000003</x:v>
      </x:c>
      <x:c r="H47" s="420" t="n">
        <x:f>H46*Assumptions!$E$14</x:f>
        <x:v>26084020.429166667</x:v>
      </x:c>
      <x:c r="I47" s="420" t="n">
        <x:f>I46*Assumptions!$E$14</x:f>
        <x:v>28962729.91666667</x:v>
      </x:c>
      <x:c r="J47" s="420" t="n">
        <x:f>J46*Assumptions!$E$14</x:f>
        <x:v>97535480.2625</x:v>
      </x:c>
      <x:c r="K47" s="420" t="n">
        <x:f>K46*Assumptions!$E$14</x:f>
        <x:v>28212729.91666667</x:v>
      </x:c>
      <x:c r="L47" s="373"/>
      <x:c r="M47" s="373"/>
      <x:c r="N47" s="373"/>
      <x:c r="O47" s="339"/>
      <x:c r="P47" s="339"/>
      <x:c r="Q47" s="339"/>
      <x:c r="R47" s="339"/>
      <x:c r="S47" s="339"/>
      <x:c r="T47" s="339"/>
      <x:c r="U47" s="339"/>
      <x:c r="V47" s="339"/>
      <x:c r="W47" s="339"/>
      <x:c r="X47" s="339"/>
      <x:c r="Y47" s="339"/>
      <x:c r="Z47" s="339"/>
    </x:row>
    <x:row r="48">
      <x:c r="A48" s="383" t="str">
        <x:v>STAGE 2 — TOTAL CONDITIONAL NATIONAL ROLLOUT COST</x:v>
      </x:c>
      <x:c r="B48" s="383"/>
      <x:c r="C48" s="383"/>
      <x:c r="D48" s="383"/>
      <x:c r="E48" s="431" t="n">
        <x:f>E15+E46+E47</x:f>
        <x:v>214424972.90833336</x:v>
      </x:c>
      <x:c r="F48" s="431" t="n">
        <x:f>F15+F46+F47</x:f>
        <x:v>511538918.725</x:v>
      </x:c>
      <x:c r="G48" s="431" t="n">
        <x:f>G15+G46+G47</x:f>
        <x:v>957209837.45</x:v>
      </x:c>
      <x:c r="H48" s="431" t="n">
        <x:f>H15+H46+H47</x:f>
        <x:v>1320352269.7208333</x:v>
      </x:c>
      <x:c r="I48" s="431" t="n">
        <x:f>I15+I46+I47</x:f>
        <x:v>1534387729.0833335</x:v>
      </x:c>
      <x:c r="J48" s="431" t="n">
        <x:f>J15+J46+J47</x:f>
        <x:v>4537913727.8875</x:v>
      </x:c>
      <x:c r="K48" s="431" t="n">
        <x:f>K15+K46+K47</x:f>
        <x:v>1526137729.0833335</x:v>
      </x:c>
      <x:c r="L48" s="383"/>
      <x:c r="M48" s="383"/>
      <x:c r="N48" s="383"/>
      <x:c r="O48" s="339"/>
      <x:c r="P48" s="339"/>
      <x:c r="Q48" s="339"/>
      <x:c r="R48" s="339"/>
      <x:c r="S48" s="339"/>
      <x:c r="T48" s="339"/>
      <x:c r="U48" s="339"/>
      <x:c r="V48" s="339"/>
      <x:c r="W48" s="339"/>
      <x:c r="X48" s="339"/>
      <x:c r="Y48" s="339"/>
      <x:c r="Z48" s="339"/>
    </x:row>
    <x:row r="49">
      <x:c r="A49" s="28"/>
      <x:c r="B49" s="28"/>
      <x:c r="C49" s="28"/>
      <x:c r="D49" s="28"/>
      <x:c r="E49" s="28"/>
      <x:c r="F49" s="28"/>
      <x:c r="G49" s="28"/>
      <x:c r="H49" s="28"/>
      <x:c r="I49" s="28"/>
      <x:c r="J49" s="28"/>
      <x:c r="K49" s="28"/>
      <x:c r="L49" s="28"/>
      <x:c r="M49" s="28"/>
      <x:c r="N49" s="28"/>
      <x:c r="O49" s="339"/>
      <x:c r="P49" s="339"/>
      <x:c r="Q49" s="339"/>
      <x:c r="R49" s="339"/>
      <x:c r="S49" s="339"/>
      <x:c r="T49" s="339"/>
      <x:c r="U49" s="339"/>
      <x:c r="V49" s="339"/>
      <x:c r="W49" s="339"/>
      <x:c r="X49" s="339"/>
      <x:c r="Y49" s="339"/>
      <x:c r="Z49" s="339"/>
    </x:row>
    <x:row r="50">
      <x:c r="A50" s="28"/>
      <x:c r="B50" s="28"/>
      <x:c r="C50" s="28"/>
      <x:c r="D50" s="28"/>
      <x:c r="E50" s="28"/>
      <x:c r="F50" s="28"/>
      <x:c r="G50" s="28"/>
      <x:c r="H50" s="28"/>
      <x:c r="I50" s="28"/>
      <x:c r="J50" s="28"/>
      <x:c r="K50" s="28"/>
      <x:c r="L50" s="28"/>
      <x:c r="M50" s="28"/>
      <x:c r="N50" s="28"/>
      <x:c r="O50" s="339"/>
      <x:c r="P50" s="339"/>
      <x:c r="Q50" s="339"/>
      <x:c r="R50" s="339"/>
      <x:c r="S50" s="339"/>
      <x:c r="T50" s="339"/>
      <x:c r="U50" s="339"/>
      <x:c r="V50" s="339"/>
      <x:c r="W50" s="339"/>
      <x:c r="X50" s="339"/>
      <x:c r="Y50" s="339"/>
      <x:c r="Z50" s="339"/>
    </x:row>
    <x:row r="51" ht="22" customHeight="1">
      <x:c r="A51" s="633" t="str">
        <x:v>Central Learning Capital and student-loan offset indicators</x:v>
      </x:c>
      <x:c r="B51" s="633" t="str">
        <x:v>Central Learning Capital and student-loan offset indicators</x:v>
      </x:c>
      <x:c r="C51" s="633" t="str">
        <x:v>Central Learning Capital and student-loan offset indicators</x:v>
      </x:c>
      <x:c r="D51" s="633" t="str">
        <x:v>Central Learning Capital and student-loan offset indicators</x:v>
      </x:c>
      <x:c r="E51" s="633" t="str">
        <x:v>Central Learning Capital and student-loan offset indicators</x:v>
      </x:c>
      <x:c r="F51" s="633" t="str">
        <x:v>Central Learning Capital and student-loan offset indicators</x:v>
      </x:c>
      <x:c r="G51" s="633" t="str">
        <x:v>Central Learning Capital and student-loan offset indicators</x:v>
      </x:c>
      <x:c r="H51" s="633" t="str">
        <x:v>Central Learning Capital and student-loan offset indicators</x:v>
      </x:c>
      <x:c r="I51" s="633" t="str">
        <x:v>Central Learning Capital and student-loan offset indicators</x:v>
      </x:c>
      <x:c r="J51" s="633" t="str">
        <x:v>Central Learning Capital and student-loan offset indicators</x:v>
      </x:c>
      <x:c r="K51" s="633" t="str">
        <x:v>Central Learning Capital and student-loan offset indicators</x:v>
      </x:c>
      <x:c r="L51" s="633" t="str">
        <x:v>Central Learning Capital and student-loan offset indicators</x:v>
      </x:c>
      <x:c r="M51" s="633" t="str">
        <x:v>Central Learning Capital and student-loan offset indicators</x:v>
      </x:c>
      <x:c r="N51" s="633" t="str">
        <x:v>Central Learning Capital and student-loan offset indicators</x:v>
      </x:c>
      <x:c r="O51" s="339"/>
      <x:c r="P51" s="339"/>
      <x:c r="Q51" s="339"/>
      <x:c r="R51" s="339"/>
      <x:c r="S51" s="339"/>
      <x:c r="T51" s="339"/>
      <x:c r="U51" s="339"/>
      <x:c r="V51" s="339"/>
      <x:c r="W51" s="339"/>
      <x:c r="X51" s="339"/>
      <x:c r="Y51" s="339"/>
      <x:c r="Z51" s="339"/>
    </x:row>
    <x:row r="52" ht="28" customHeight="1">
      <x:c r="A52" s="526" t="str">
        <x:v>Metric</x:v>
      </x:c>
      <x:c r="B52" s="526" t="str">
        <x:v>Mature annual immediate-access payments</x:v>
      </x:c>
      <x:c r="C52" s="526" t="str">
        <x:v>Mature annual Learning Capital deposits</x:v>
      </x:c>
      <x:c r="D52" s="526" t="str">
        <x:v>Five-year rollout Learning Capital deposits</x:v>
      </x:c>
      <x:c r="E52" s="526" t="str">
        <x:v>Projected assets under management at end of rollout</x:v>
      </x:c>
      <x:c r="F52" s="526" t="str">
        <x:v>Annual-cohort loan principal displaced</x:v>
      </x:c>
      <x:c r="G52" s="526" t="str">
        <x:v>Initial fair-value cost avoided</x:v>
      </x:c>
      <x:c r="H52" s="526" t="str">
        <x:v>Net Crown offset after account administration and induced-study cost</x:v>
      </x:c>
      <x:c r="I52" s="526" t="str">
        <x:v>Cost-of-ownership view</x:v>
      </x:c>
      <x:c r="J52" s="526" t="str">
        <x:v>Inflation-erosion view</x:v>
      </x:c>
      <x:c r="K52" s="526" t="str">
        <x:v>Treatment in appropriation</x:v>
      </x:c>
      <x:c r="L52" s="526" t="str">
        <x:v>Source ID</x:v>
      </x:c>
      <x:c r="M52" s="526" t="str">
        <x:v>Confidence</x:v>
      </x:c>
      <x:c r="N52" s="526" t="str">
        <x:v>Interpretation</x:v>
      </x:c>
      <x:c r="O52" s="339"/>
      <x:c r="P52" s="339"/>
      <x:c r="Q52" s="339"/>
      <x:c r="R52" s="339"/>
      <x:c r="S52" s="339"/>
      <x:c r="T52" s="339"/>
      <x:c r="U52" s="339"/>
      <x:c r="V52" s="339"/>
      <x:c r="W52" s="339"/>
      <x:c r="X52" s="339"/>
      <x:c r="Y52" s="339"/>
      <x:c r="Z52" s="339"/>
    </x:row>
    <x:row r="53">
      <x:c r="A53" s="28" t="str">
        <x:v>Central case</x:v>
      </x:c>
      <x:c r="B53" s="529" t="n">
        <x:f>K13</x:f>
        <x:v>607898850</x:v>
      </x:c>
      <x:c r="C53" s="529" t="n">
        <x:f>K14</x:f>
        <x:v>607898850</x:v>
      </x:c>
      <x:c r="D53" s="529" t="n">
        <x:f>J14</x:f>
        <x:v>1732511722.5</x:v>
      </x:c>
      <x:c r="E53" s="345" t="n">
        <x:f>E14*1.04^4+F14*1.04^3+G14*1.04^2+H14*1.04+I14</x:f>
        <x:v>1816040098.0265856</x:v>
      </x:c>
      <x:c r="F53" s="345" t="n">
        <x:f>'Cohort Bridge'!$D$27</x:f>
        <x:v>170706529.06716847</x:v>
      </x:c>
      <x:c r="G53" s="345" t="n">
        <x:f>'Cohort Bridge'!$D$28</x:f>
        <x:v>58449915.55259848</x:v>
      </x:c>
      <x:c r="H53" s="345" t="n">
        <x:f>'Cohort Bridge'!$D$30</x:f>
        <x:v>5827697.152598478</x:v>
      </x:c>
      <x:c r="I53" s="345" t="n">
        <x:f>'Learning Capital &amp; ROI'!$C$111*(Assumptions!$E$32/Assumptions!$E$33)</x:f>
        <x:v>6388705.753520326</x:v>
      </x:c>
      <x:c r="J53" s="345" t="n">
        <x:f>'Learning Capital &amp; ROI'!$C$112*(Assumptions!$E$32/Assumptions!$E$33)</x:f>
        <x:v>14604798.627564864</x:v>
      </x:c>
      <x:c r="K53" s="28" t="str">
        <x:v>Future loan offsets do not reduce the cash appropriation recognised when programme payments occur.</x:v>
      </x:c>
      <x:c r="L53" s="28" t="str">
        <x:v>S24–S30;A08–A16</x:v>
      </x:c>
      <x:c r="M53" s="28" t="str">
        <x:v>Scenario model</x:v>
      </x:c>
      <x:c r="N53" s="28" t="str">
        <x:v>Official fair value is central; other loan-cost views are non-additive.</x:v>
      </x:c>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ht="23" customHeight="1">
      <x:c r="A56" s="905" t="str">
        <x:v>Conditional national delivery scenarios and economic gates</x:v>
      </x:c>
      <x:c r="B56" s="905"/>
      <x:c r="C56" s="905"/>
      <x:c r="D56" s="905"/>
      <x:c r="E56" s="905"/>
      <x:c r="F56" s="905"/>
      <x:c r="G56" s="905"/>
      <x:c r="H56" s="905"/>
      <x:c r="I56" s="905"/>
      <x:c r="J56" s="905"/>
      <x:c r="K56" s="905"/>
      <x:c r="L56" s="905"/>
      <x:c r="M56" s="905"/>
      <x:c r="N56" s="905"/>
      <x:c r="O56" s="339"/>
      <x:c r="P56" s="339"/>
      <x:c r="Q56" s="339"/>
      <x:c r="R56" s="339"/>
      <x:c r="S56" s="339"/>
      <x:c r="T56" s="339"/>
      <x:c r="U56" s="339"/>
      <x:c r="V56" s="339"/>
      <x:c r="W56" s="339"/>
      <x:c r="X56" s="339"/>
      <x:c r="Y56" s="339"/>
      <x:c r="Z56" s="339"/>
    </x:row>
    <x:row r="57" ht="30" customHeight="1">
      <x:c r="A57" s="909" t="str">
        <x:v>Scenario</x:v>
      </x:c>
      <x:c r="B57" s="909" t="str">
        <x:v>Cost</x:v>
      </x:c>
      <x:c r="C57" s="909" t="str">
        <x:v>Earnings affected share</x:v>
      </x:c>
      <x:c r="D57" s="909" t="str">
        <x:v>Social break-even @ 4%</x:v>
      </x:c>
      <x:c r="E57" s="909" t="str">
        <x:v>Crown break-even @ 4%</x:v>
      </x:c>
      <x:c r="F57" s="909" t="str">
        <x:v>5% social BCR</x:v>
      </x:c>
      <x:c r="G57" s="909" t="str">
        <x:v>Committed funding</x:v>
      </x:c>
      <x:c r="H57" s="909" t="str">
        <x:v>Stage-gate status</x:v>
      </x:c>
      <x:c r="I57" s="909" t="str">
        <x:v>Universal group</x:v>
      </x:c>
      <x:c r="J57" s="909" t="str">
        <x:v>Targeted group</x:v>
      </x:c>
      <x:c r="K57" s="909" t="str">
        <x:v>Labour-market safeguard</x:v>
      </x:c>
      <x:c r="L57" s="909" t="str">
        <x:v>Source sheet</x:v>
      </x:c>
      <x:c r="M57" s="909" t="str">
        <x:v>Confidence</x:v>
      </x:c>
      <x:c r="N57" s="909" t="str">
        <x:v>Interpretation</x:v>
      </x:c>
      <x:c r="O57" s="339"/>
      <x:c r="P57" s="339"/>
      <x:c r="Q57" s="339"/>
      <x:c r="R57" s="339"/>
      <x:c r="S57" s="339"/>
      <x:c r="T57" s="339"/>
      <x:c r="U57" s="339"/>
      <x:c r="V57" s="339"/>
      <x:c r="W57" s="339"/>
      <x:c r="X57" s="339"/>
      <x:c r="Y57" s="339"/>
      <x:c r="Z57" s="339"/>
    </x:row>
    <x:row r="58">
      <x:c r="A58" s="28" t="str">
        <x:v>Universal core only</x:v>
      </x:c>
      <x:c r="B58" s="344" t="n">
        <x:f>'Delivery Scenarios'!$G$20</x:f>
        <x:v>825136870.3583333</x:v>
      </x:c>
      <x:c r="C58" s="347" t="n">
        <x:f>'Delivery Scenarios'!$J$20</x:f>
        <x:v>0.45</x:v>
      </x:c>
      <x:c r="D58" s="997" t="n">
        <x:f>'Human Capital &amp; Earnings'!$J$108</x:f>
        <x:v>0.05183174490521204</x:v>
      </x:c>
      <x:c r="E58" s="997" t="n">
        <x:f>'Human Capital &amp; Earnings'!$K$108</x:f>
        <x:v>0.19013128458612533</x:v>
      </x:c>
      <x:c r="F58" s="478" t="n">
        <x:f>'Human Capital &amp; Earnings'!$O$108</x:f>
        <x:v>0.9729393335676049</x:v>
      </x:c>
      <x:c r="G58" s="344" t="n">
        <x:f>'Delivery Scenarios'!$K$20</x:f>
        <x:v>0</x:v>
      </x:c>
      <x:c r="H58" s="994" t="str">
        <x:v>CONDITIONAL / NOT TESTED</x:v>
      </x:c>
      <x:c r="I58" s="28" t="str">
        <x:v>All participating students</x:v>
      </x:c>
      <x:c r="J58" s="28" t="str">
        <x:v>None beyond core</x:v>
      </x:c>
      <x:c r="K58" s="28" t="str">
        <x:v>General-equilibrium review</x:v>
      </x:c>
      <x:c r="L58" s="28" t="str">
        <x:v>Delivery Scenarios; Human Capital &amp; Earnings</x:v>
      </x:c>
      <x:c r="M58" s="28" t="str">
        <x:v>Low</x:v>
      </x:c>
      <x:c r="N58" s="28" t="str">
        <x:v>Lower-cost universal sensitivity</x:v>
      </x:c>
      <x:c r="O58" s="339"/>
      <x:c r="P58" s="339"/>
      <x:c r="Q58" s="339"/>
      <x:c r="R58" s="339"/>
      <x:c r="S58" s="339"/>
      <x:c r="T58" s="339"/>
      <x:c r="U58" s="339"/>
      <x:c r="V58" s="339"/>
      <x:c r="W58" s="339"/>
      <x:c r="X58" s="339"/>
      <x:c r="Y58" s="339"/>
      <x:c r="Z58" s="339"/>
    </x:row>
    <x:row r="59">
      <x:c r="A59" s="28" t="str">
        <x:v>Universal core plus targeted accelerator</x:v>
      </x:c>
      <x:c r="B59" s="344" t="n">
        <x:f>'Delivery Scenarios'!$G$21</x:f>
        <x:v>875015750.3583333</x:v>
      </x:c>
      <x:c r="C59" s="347" t="n">
        <x:f>'Delivery Scenarios'!$J$21</x:f>
        <x:v>0.55</x:v>
      </x:c>
      <x:c r="D59" s="997" t="n">
        <x:f>'Human Capital &amp; Earnings'!$J$111</x:f>
        <x:v>0.033256642039771675</x:v>
      </x:c>
      <x:c r="E59" s="997" t="n">
        <x:f>'Human Capital &amp; Earnings'!$K$111</x:f>
        <x:v>0.15033958524714106</x:v>
      </x:c>
      <x:c r="F59" s="478" t="n">
        <x:f>'Human Capital &amp; Earnings'!$O$111</x:f>
        <x:v>1.2818425933052784</x:v>
      </x:c>
      <x:c r="G59" s="344" t="n">
        <x:f>'Delivery Scenarios'!$K$21</x:f>
        <x:v>0</x:v>
      </x:c>
      <x:c r="H59" s="994" t="str">
        <x:v>CONDITIONAL / NOT TESTED</x:v>
      </x:c>
      <x:c r="I59" s="28" t="str">
        <x:v>All participating students</x:v>
      </x:c>
      <x:c r="J59" s="28" t="str">
        <x:v>Evidence-based accelerator share</x:v>
      </x:c>
      <x:c r="K59" s="28" t="str">
        <x:v>Pooled funding and independent forecasting</x:v>
      </x:c>
      <x:c r="L59" s="28" t="str">
        <x:v>Delivery Scenarios; Human Capital &amp; Earnings</x:v>
      </x:c>
      <x:c r="M59" s="28" t="str">
        <x:v>Low</x:v>
      </x:c>
      <x:c r="N59" s="28" t="str">
        <x:v>Structural sensitivity</x:v>
      </x:c>
      <x:c r="O59" s="339"/>
      <x:c r="P59" s="339"/>
      <x:c r="Q59" s="339"/>
      <x:c r="R59" s="339"/>
      <x:c r="S59" s="339"/>
      <x:c r="T59" s="339"/>
      <x:c r="U59" s="339"/>
      <x:c r="V59" s="339"/>
      <x:c r="W59" s="339"/>
      <x:c r="X59" s="339"/>
      <x:c r="Y59" s="339"/>
      <x:c r="Z59" s="339"/>
    </x:row>
    <x:row r="60">
      <x:c r="A60" s="28" t="str">
        <x:v>Targeted pilot</x:v>
      </x:c>
      <x:c r="B60" s="344" t="n">
        <x:f>'Delivery Scenarios'!$G$22</x:f>
        <x:v>97579970.263125</x:v>
      </x:c>
      <x:c r="C60" s="347" t="n">
        <x:f>'Delivery Scenarios'!$J$22</x:f>
        <x:v>0.6</x:v>
      </x:c>
      <x:c r="D60" s="997" t="n">
        <x:f>'Human Capital &amp; Earnings'!$J$114</x:f>
        <x:v>0.05168572155475939</x:v>
      </x:c>
      <x:c r="E60" s="997" t="n">
        <x:f>'Human Capital &amp; Earnings'!$K$114</x:f>
        <x:v>0.23373864282414236</x:v>
      </x:c>
      <x:c r="F60" s="478" t="n">
        <x:f>'Human Capital &amp; Earnings'!$O$114</x:f>
        <x:v>0.9815880320452496</x:v>
      </x:c>
      <x:c r="G60" s="344" t="n">
        <x:f>'Delivery Scenarios'!$K$22</x:f>
        <x:v>0</x:v>
      </x:c>
      <x:c r="H60" s="994" t="str">
        <x:v>CONDITIONAL / NOT TESTED</x:v>
      </x:c>
      <x:c r="I60" s="28" t="str">
        <x:v>Pilot treatment cohort</x:v>
      </x:c>
      <x:c r="J60" s="28" t="str">
        <x:v>Pilot treatment cohort</x:v>
      </x:c>
      <x:c r="K60" s="28" t="str">
        <x:v>Independent monitoring</x:v>
      </x:c>
      <x:c r="L60" s="28" t="str">
        <x:v>Stage 1; Stage-Gate Tests</x:v>
      </x:c>
      <x:c r="M60" s="28" t="str">
        <x:v>Low</x:v>
      </x:c>
      <x:c r="N60" s="28" t="str">
        <x:v>Evidence generation only</x:v>
      </x:c>
      <x:c r="O60" s="339"/>
      <x:c r="P60" s="339"/>
      <x:c r="Q60" s="339"/>
      <x:c r="R60" s="339"/>
      <x:c r="S60" s="339"/>
      <x:c r="T60" s="339"/>
      <x:c r="U60" s="339"/>
      <x:c r="V60" s="339"/>
      <x:c r="W60" s="339"/>
      <x:c r="X60" s="339"/>
      <x:c r="Y60" s="339"/>
      <x:c r="Z60" s="339"/>
    </x:row>
    <x:row r="61">
      <x:c r="A61" s="28" t="str">
        <x:v>Mature national design</x:v>
      </x:c>
      <x:c r="B61" s="344" t="n">
        <x:f>'Delivery Scenarios'!$G$23</x:f>
        <x:v>1526137729.0833335</x:v>
      </x:c>
      <x:c r="C61" s="347" t="n">
        <x:f>'Delivery Scenarios'!$J$23</x:f>
        <x:v>0.5</x:v>
      </x:c>
      <x:c r="D61" s="997" t="n">
        <x:f>'Human Capital &amp; Earnings'!$J$117</x:f>
        <x:v>0.0851002355478312</x:v>
      </x:c>
      <x:c r="E61" s="997" t="n">
        <x:f>'Human Capital &amp; Earnings'!$K$117</x:f>
        <x:v>0.3174347047868822</x:v>
      </x:c>
      <x:c r="F61" s="478" t="n">
        <x:f>'Human Capital &amp; Earnings'!$O$117</x:f>
        <x:v>0.6920334476956341</x:v>
      </x:c>
      <x:c r="G61" s="344" t="n">
        <x:f>'Delivery Scenarios'!$K$23</x:f>
        <x:v>0</x:v>
      </x:c>
      <x:c r="H61" s="994" t="str">
        <x:v>CONDITIONAL / NOT TESTED</x:v>
      </x:c>
      <x:c r="I61" s="28" t="str">
        <x:v>All active students</x:v>
      </x:c>
      <x:c r="J61" s="28" t="str">
        <x:v>No separate intensity in current cost model</x:v>
      </x:c>
      <x:c r="K61" s="28" t="str">
        <x:v>Independent labour-market gate</x:v>
      </x:c>
      <x:c r="L61" s="28" t="str">
        <x:v>Stage 2; Human Capital &amp; Earnings</x:v>
      </x:c>
      <x:c r="M61" s="28" t="str">
        <x:v>Low</x:v>
      </x:c>
      <x:c r="N61" s="28" t="str">
        <x:v>Conditional scale comparator</x:v>
      </x:c>
      <x:c r="O61" s="339"/>
      <x:c r="P61" s="339"/>
      <x:c r="Q61" s="339"/>
      <x:c r="R61" s="339"/>
      <x:c r="S61" s="339"/>
      <x:c r="T61" s="339"/>
      <x:c r="U61" s="339"/>
      <x:c r="V61" s="339"/>
      <x:c r="W61" s="339"/>
      <x:c r="X61" s="339"/>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339"/>
      <x:c r="V62" s="339"/>
      <x:c r="W62" s="339"/>
      <x:c r="X62" s="339"/>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339"/>
      <x:c r="V63" s="339"/>
      <x:c r="W63" s="339"/>
      <x:c r="X63" s="339"/>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339"/>
      <x:c r="V66" s="339"/>
      <x:c r="W66" s="339"/>
      <x:c r="X66" s="339"/>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339"/>
      <x:c r="V67" s="339"/>
      <x:c r="W67" s="339"/>
      <x:c r="X67" s="339"/>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339"/>
      <x:c r="V68" s="339"/>
      <x:c r="W68" s="339"/>
      <x:c r="X68" s="339"/>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N1"/>
    <x:mergeCell ref="A2:N2"/>
    <x:mergeCell ref="K4:N4"/>
    <x:mergeCell ref="A9:N9"/>
    <x:mergeCell ref="A12:N12"/>
    <x:mergeCell ref="A16:N16"/>
    <x:mergeCell ref="A23:D23"/>
    <x:mergeCell ref="L23:N23"/>
    <x:mergeCell ref="A25:N25"/>
    <x:mergeCell ref="A28:D28"/>
    <x:mergeCell ref="L28:N28"/>
    <x:mergeCell ref="A30:N30"/>
    <x:mergeCell ref="A34:D34"/>
    <x:mergeCell ref="L34:N34"/>
    <x:mergeCell ref="A36:N36"/>
    <x:mergeCell ref="A40:D40"/>
    <x:mergeCell ref="L40:N40"/>
    <x:mergeCell ref="A42:N42"/>
    <x:mergeCell ref="A44:D44"/>
    <x:mergeCell ref="L44:N44"/>
    <x:mergeCell ref="A46:D46"/>
    <x:mergeCell ref="L46:N46"/>
    <x:mergeCell ref="A47:D47"/>
    <x:mergeCell ref="L47:N47"/>
    <x:mergeCell ref="A48:D48"/>
    <x:mergeCell ref="L48:N48"/>
    <x:mergeCell ref="A51:N51"/>
    <x:mergeCell ref="A56:N56"/>
  </x:mergeCells>
  <x:pageMargins left="0.7" right="0.7" top="0.75" bottom="0.75" header="0.3" footer="0.3"/>
</x:worksheet>
</file>

<file path=xl/worksheets/sheet12.xml><?xml version="1.0" encoding="utf-8"?>
<x:worksheet xmlns:x="http://schemas.openxmlformats.org/spreadsheetml/2006/main">
  <x:sheetFormatPr defaultRowHeight="15"/>
  <x:cols>
    <x:col min="1" max="1" width="46" hidden="0" customWidth="1"/>
    <x:col min="2" max="2" width="20" hidden="0" customWidth="1"/>
    <x:col min="3" max="3" width="20" hidden="0" customWidth="1"/>
    <x:col min="4" max="4" width="22" hidden="0" customWidth="1"/>
    <x:col min="5" max="5" width="27" hidden="0" customWidth="1"/>
    <x:col min="6" max="6" width="27" hidden="0" customWidth="1"/>
    <x:col min="7" max="7" width="27" hidden="0" customWidth="1"/>
    <x:col min="8" max="8" width="27" hidden="0" customWidth="1"/>
  </x:cols>
  <x:sheetData>
    <x:row r="1" ht="30" customHeight="1">
      <x:c r="A1" s="338" t="str">
        <x:v>Benefits, Whole-Cohort Earnings and Break-even</x:v>
      </x:c>
      <x:c r="B1" s="338" t="str">
        <x:v>Benefits, Break-even and the Pacheco–Dye Test</x:v>
      </x:c>
      <x:c r="C1" s="338" t="str">
        <x:v>Benefits, Break-even and the Pacheco–Dye Test</x:v>
      </x:c>
      <x:c r="D1" s="338" t="str">
        <x:v>Benefits, Break-even and the Pacheco–Dye Test</x:v>
      </x:c>
      <x:c r="E1" s="338" t="str">
        <x:v>Benefits, Break-even and the Pacheco–Dye Test</x:v>
      </x:c>
      <x:c r="F1" s="338" t="str">
        <x:v>Benefits, Break-even and the Pacheco–Dye Test</x:v>
      </x:c>
      <x:c r="G1" s="338" t="str">
        <x:v>Benefits, Break-even and the Pacheco–Dye Test</x:v>
      </x:c>
      <x:c r="H1" s="338" t="str">
        <x:v>Benefits, Break-even and the Pacheco–Dye Test</x:v>
      </x:c>
      <x:c r="I1" s="339"/>
      <x:c r="J1" s="339"/>
      <x:c r="K1" s="339"/>
      <x:c r="L1" s="339"/>
      <x:c r="M1" s="339"/>
      <x:c r="N1" s="339"/>
      <x:c r="O1" s="339"/>
      <x:c r="P1" s="339"/>
      <x:c r="Q1" s="339"/>
      <x:c r="R1" s="339"/>
      <x:c r="S1" s="339"/>
      <x:c r="T1" s="339"/>
      <x:c r="U1" s="339"/>
      <x:c r="V1" s="339"/>
      <x:c r="W1" s="339"/>
      <x:c r="X1" s="339"/>
      <x:c r="Y1" s="339"/>
      <x:c r="Z1" s="339"/>
    </x:row>
    <x:row r="2" ht="28" customHeight="1">
      <x:c r="A2" s="340" t="str">
        <x:v>Headline benefits deliberately exclude justice, health and victim impacts. The model separates short-term NZ evidence from the low-confidence lifetime extrapolation.</x:v>
      </x:c>
      <x:c r="B2" s="340" t="str">
        <x:v>Headline benefits deliberately exclude justice, health and victim impacts. The model separates short-term NZ evidence from the low-confidence lifetime extrapolation.</x:v>
      </x:c>
      <x:c r="C2" s="340" t="str">
        <x:v>Headline benefits deliberately exclude justice, health and victim impacts. The model separates short-term NZ evidence from the low-confidence lifetime extrapolation.</x:v>
      </x:c>
      <x:c r="D2" s="340" t="str">
        <x:v>Headline benefits deliberately exclude justice, health and victim impacts. The model separates short-term NZ evidence from the low-confidence lifetime extrapolation.</x:v>
      </x:c>
      <x:c r="E2" s="340" t="str">
        <x:v>Headline benefits deliberately exclude justice, health and victim impacts. The model separates short-term NZ evidence from the low-confidence lifetime extrapolation.</x:v>
      </x:c>
      <x:c r="F2" s="340" t="str">
        <x:v>Headline benefits deliberately exclude justice, health and victim impacts. The model separates short-term NZ evidence from the low-confidence lifetime extrapolation.</x:v>
      </x:c>
      <x:c r="G2" s="340" t="str">
        <x:v>Headline benefits deliberately exclude justice, health and victim impacts. The model separates short-term NZ evidence from the low-confidence lifetime extrapolation.</x:v>
      </x:c>
      <x:c r="H2" s="340" t="str">
        <x:v>Headline benefits deliberately exclude justice, health and victim impacts. The model separates short-term NZ evidence from the low-confidence lifetime extrapolation.</x:v>
      </x:c>
      <x:c r="I2" s="339"/>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343" t="str">
        <x:v>Metric</x:v>
      </x:c>
      <x:c r="B4" s="343" t="str">
        <x:v>Pilot central</x:v>
      </x:c>
      <x:c r="C4" s="343" t="str">
        <x:v>National central</x:v>
      </x:c>
      <x:c r="D4" s="343" t="str">
        <x:v>Unit</x:v>
      </x:c>
      <x:c r="E4" s="343" t="str">
        <x:v>Source ID</x:v>
      </x:c>
      <x:c r="F4" s="343" t="str">
        <x:v>Evidence strength</x:v>
      </x:c>
      <x:c r="G4" s="343" t="str">
        <x:v>Included in headline BCR?</x:v>
      </x:c>
      <x:c r="H4" s="343" t="str">
        <x:v>Interpretation</x:v>
      </x:c>
      <x:c r="I4" s="339"/>
      <x:c r="J4" s="339"/>
      <x:c r="K4" s="339"/>
      <x:c r="L4" s="339"/>
      <x:c r="M4" s="339"/>
      <x:c r="N4" s="339"/>
      <x:c r="O4" s="339"/>
      <x:c r="P4" s="339"/>
      <x:c r="Q4" s="339"/>
      <x:c r="R4" s="339"/>
      <x:c r="S4" s="339"/>
      <x:c r="T4" s="339"/>
      <x:c r="U4" s="339"/>
      <x:c r="V4" s="339"/>
      <x:c r="W4" s="339"/>
      <x:c r="X4" s="339"/>
      <x:c r="Y4" s="339"/>
      <x:c r="Z4" s="339"/>
    </x:row>
    <x:row r="5" ht="21" customHeight="1">
      <x:c r="A5" s="368" t="str">
        <x:v>Pacheco &amp; Dye benchmark — current-dollar values</x:v>
      </x:c>
      <x:c r="B5" s="368" t="str">
        <x:v>Pacheco &amp; Dye benchmark — current-dollar values</x:v>
      </x:c>
      <x:c r="C5" s="368" t="str">
        <x:v>Pacheco &amp; Dye benchmark — current-dollar values</x:v>
      </x:c>
      <x:c r="D5" s="368" t="str">
        <x:v>Pacheco &amp; Dye benchmark — current-dollar values</x:v>
      </x:c>
      <x:c r="E5" s="368" t="str">
        <x:v>Pacheco &amp; Dye benchmark — current-dollar values</x:v>
      </x:c>
      <x:c r="F5" s="368" t="str">
        <x:v>Pacheco &amp; Dye benchmark — current-dollar values</x:v>
      </x:c>
      <x:c r="G5" s="368" t="str">
        <x:v>Pacheco &amp; Dye benchmark — current-dollar values</x:v>
      </x:c>
      <x:c r="H5" s="368" t="str">
        <x:v>Pacheco &amp; Dye benchmark — current-dollar values</x:v>
      </x:c>
      <x:c r="I5" s="339"/>
      <x:c r="J5" s="339"/>
      <x:c r="K5" s="339"/>
      <x:c r="L5" s="339"/>
      <x:c r="M5" s="339"/>
      <x:c r="N5" s="339"/>
      <x:c r="O5" s="339"/>
      <x:c r="P5" s="339"/>
      <x:c r="Q5" s="339"/>
      <x:c r="R5" s="339"/>
      <x:c r="S5" s="339"/>
      <x:c r="T5" s="339"/>
      <x:c r="U5" s="339"/>
      <x:c r="V5" s="339"/>
      <x:c r="W5" s="339"/>
      <x:c r="X5" s="339"/>
      <x:c r="Y5" s="339"/>
      <x:c r="Z5" s="339"/>
    </x:row>
    <x:row r="6">
      <x:c r="A6" s="28" t="str">
        <x:v>Short-term productivity loss / avoided cost per sustained NEET case</x:v>
      </x:c>
      <x:c r="B6" s="345" t="n">
        <x:f>Assumptions!$E$44*Assumptions!$E$6</x:f>
        <x:v>21645.879391714734</x:v>
      </x:c>
      <x:c r="C6" s="345" t="n">
        <x:f>B6</x:f>
        <x:v>21645.879391714734</x:v>
      </x:c>
      <x:c r="D6" s="28" t="str">
        <x:v>NZD/case</x:v>
      </x:c>
      <x:c r="E6" s="28" t="str">
        <x:v>S02;S03</x:v>
      </x:c>
      <x:c r="F6" s="28" t="str">
        <x:v>Medium</x:v>
      </x:c>
      <x:c r="G6" s="28" t="str">
        <x:v>Yes — short-term view</x:v>
      </x:c>
      <x:c r="H6" s="28" t="str">
        <x:v>NZ-specific 1–3 year productivity component.</x:v>
      </x:c>
      <x:c r="I6" s="339"/>
      <x:c r="J6" s="339"/>
      <x:c r="K6" s="339"/>
      <x:c r="L6" s="339"/>
      <x:c r="M6" s="339"/>
      <x:c r="N6" s="339"/>
      <x:c r="O6" s="339"/>
      <x:c r="P6" s="339"/>
      <x:c r="Q6" s="339"/>
      <x:c r="R6" s="339"/>
      <x:c r="S6" s="339"/>
      <x:c r="T6" s="339"/>
      <x:c r="U6" s="339"/>
      <x:c r="V6" s="339"/>
      <x:c r="W6" s="339"/>
      <x:c r="X6" s="339"/>
      <x:c r="Y6" s="339"/>
      <x:c r="Z6" s="339"/>
    </x:row>
    <x:row r="7">
      <x:c r="A7" s="28" t="str">
        <x:v>Short-term public-finance cost / avoided cost per sustained NEET case</x:v>
      </x:c>
      <x:c r="B7" s="345" t="n">
        <x:f>Assumptions!$E$45*Assumptions!$E$6</x:f>
        <x:v>16055.361300471946</x:v>
      </x:c>
      <x:c r="C7" s="345" t="n">
        <x:f>B7</x:f>
        <x:v>16055.361300471946</x:v>
      </x:c>
      <x:c r="D7" s="28" t="str">
        <x:v>NZD/case</x:v>
      </x:c>
      <x:c r="E7" s="28" t="str">
        <x:v>S02;S03</x:v>
      </x:c>
      <x:c r="F7" s="28" t="str">
        <x:v>Medium</x:v>
      </x:c>
      <x:c r="G7" s="28" t="str">
        <x:v>Yes — fiscal view</x:v>
      </x:c>
      <x:c r="H7" s="28" t="str">
        <x:v>NZ-specific 1–3 year public-finance component.</x:v>
      </x:c>
      <x:c r="I7" s="339"/>
      <x:c r="J7" s="339"/>
      <x:c r="K7" s="339"/>
      <x:c r="L7" s="339"/>
      <x:c r="M7" s="339"/>
      <x:c r="N7" s="339"/>
      <x:c r="O7" s="339"/>
      <x:c r="P7" s="339"/>
      <x:c r="Q7" s="339"/>
      <x:c r="R7" s="339"/>
      <x:c r="S7" s="339"/>
      <x:c r="T7" s="339"/>
      <x:c r="U7" s="339"/>
      <x:c r="V7" s="339"/>
      <x:c r="W7" s="339"/>
      <x:c r="X7" s="339"/>
      <x:c r="Y7" s="339"/>
      <x:c r="Z7" s="339"/>
    </x:row>
    <x:row r="8">
      <x:c r="A8" s="28" t="str">
        <x:v>Short-term total cost / avoided cost per sustained NEET case</x:v>
      </x:c>
      <x:c r="B8" s="345" t="n">
        <x:f>Assumptions!$E$46*Assumptions!$E$6</x:f>
        <x:v>37701.24069218668</x:v>
      </x:c>
      <x:c r="C8" s="345" t="n">
        <x:f>B8</x:f>
        <x:v>37701.24069218668</x:v>
      </x:c>
      <x:c r="D8" s="28" t="str">
        <x:v>NZD/case</x:v>
      </x:c>
      <x:c r="E8" s="28" t="str">
        <x:v>S02;S03</x:v>
      </x:c>
      <x:c r="F8" s="28" t="str">
        <x:v>Medium</x:v>
      </x:c>
      <x:c r="G8" s="28" t="str">
        <x:v>Yes — short-term view</x:v>
      </x:c>
      <x:c r="H8" s="28" t="str">
        <x:v>Published NZ total: $26,847 in December 2012 dollars.</x:v>
      </x:c>
      <x:c r="I8" s="339"/>
      <x:c r="J8" s="339"/>
      <x:c r="K8" s="339"/>
      <x:c r="L8" s="339"/>
      <x:c r="M8" s="339"/>
      <x:c r="N8" s="339"/>
      <x:c r="O8" s="339"/>
      <x:c r="P8" s="339"/>
      <x:c r="Q8" s="339"/>
      <x:c r="R8" s="339"/>
      <x:c r="S8" s="339"/>
      <x:c r="T8" s="339"/>
      <x:c r="U8" s="339"/>
      <x:c r="V8" s="339"/>
      <x:c r="W8" s="339"/>
      <x:c r="X8" s="339"/>
      <x:c r="Y8" s="339"/>
      <x:c r="Z8" s="339"/>
    </x:row>
    <x:row r="9">
      <x:c r="A9" s="28" t="str">
        <x:v>Illustrative lifetime productivity value per sustained NEET case</x:v>
      </x:c>
      <x:c r="B9" s="345" t="n">
        <x:f>B6*Assumptions!$E$47</x:f>
        <x:v>207800.44216046145</x:v>
      </x:c>
      <x:c r="C9" s="345" t="n">
        <x:f>B9</x:f>
        <x:v>207800.44216046145</x:v>
      </x:c>
      <x:c r="D9" s="28" t="str">
        <x:v>NZD/case</x:v>
      </x:c>
      <x:c r="E9" s="28" t="str">
        <x:v>S02</x:v>
      </x:c>
      <x:c r="F9" s="28" t="str">
        <x:v>Low</x:v>
      </x:c>
      <x:c r="G9" s="28" t="str">
        <x:v>No by default</x:v>
      </x:c>
      <x:c r="H9" s="28" t="str">
        <x:v>Short-term productivity × 9.6 UK multiplier.</x:v>
      </x:c>
      <x:c r="I9" s="339"/>
      <x:c r="J9" s="339"/>
      <x:c r="K9" s="339"/>
      <x:c r="L9" s="339"/>
      <x:c r="M9" s="339"/>
      <x:c r="N9" s="339"/>
      <x:c r="O9" s="339"/>
      <x:c r="P9" s="339"/>
      <x:c r="Q9" s="339"/>
      <x:c r="R9" s="339"/>
      <x:c r="S9" s="339"/>
      <x:c r="T9" s="339"/>
      <x:c r="U9" s="339"/>
      <x:c r="V9" s="339"/>
      <x:c r="W9" s="339"/>
      <x:c r="X9" s="339"/>
      <x:c r="Y9" s="339"/>
      <x:c r="Z9" s="339"/>
    </x:row>
    <x:row r="10">
      <x:c r="A10" s="28" t="str">
        <x:v>Illustrative lifetime public-finance value per sustained NEET case</x:v>
      </x:c>
      <x:c r="B10" s="345" t="n">
        <x:f>B7*Assumptions!$E$47</x:f>
        <x:v>154131.4684845307</x:v>
      </x:c>
      <x:c r="C10" s="345" t="n">
        <x:f>B10</x:f>
        <x:v>154131.4684845307</x:v>
      </x:c>
      <x:c r="D10" s="28" t="str">
        <x:v>NZD/case</x:v>
      </x:c>
      <x:c r="E10" s="28" t="str">
        <x:v>S02</x:v>
      </x:c>
      <x:c r="F10" s="28" t="str">
        <x:v>Low</x:v>
      </x:c>
      <x:c r="G10" s="28" t="str">
        <x:v>No by default</x:v>
      </x:c>
      <x:c r="H10" s="28" t="str">
        <x:v>Short-term public finance × 9.6 UK multiplier.</x:v>
      </x:c>
      <x:c r="I10" s="339"/>
      <x:c r="J10" s="339"/>
      <x:c r="K10" s="339"/>
      <x:c r="L10" s="339"/>
      <x:c r="M10" s="339"/>
      <x:c r="N10" s="339"/>
      <x:c r="O10" s="339"/>
      <x:c r="P10" s="339"/>
      <x:c r="Q10" s="339"/>
      <x:c r="R10" s="339"/>
      <x:c r="S10" s="339"/>
      <x:c r="T10" s="339"/>
      <x:c r="U10" s="339"/>
      <x:c r="V10" s="339"/>
      <x:c r="W10" s="339"/>
      <x:c r="X10" s="339"/>
      <x:c r="Y10" s="339"/>
      <x:c r="Z10" s="339"/>
    </x:row>
    <x:row r="11">
      <x:c r="A11" s="28" t="str">
        <x:v>Illustrative lifetime total value per sustained NEET case</x:v>
      </x:c>
      <x:c r="B11" s="345" t="n">
        <x:f>B8*Assumptions!$E$47</x:f>
        <x:v>361931.9106449921</x:v>
      </x:c>
      <x:c r="C11" s="345" t="n">
        <x:f>B11</x:f>
        <x:v>361931.9106449921</x:v>
      </x:c>
      <x:c r="D11" s="28" t="str">
        <x:v>NZD/case</x:v>
      </x:c>
      <x:c r="E11" s="28" t="str">
        <x:v>S02</x:v>
      </x:c>
      <x:c r="F11" s="28" t="str">
        <x:v>Low</x:v>
      </x:c>
      <x:c r="G11" s="28" t="str">
        <x:v>Scenario only</x:v>
      </x:c>
      <x:c r="H11" s="28" t="str">
        <x:v>Useful for stress-testing only; it is not a NZ lifetime estimate.</x:v>
      </x:c>
      <x:c r="I11" s="339"/>
      <x:c r="J11" s="339"/>
      <x:c r="K11" s="339"/>
      <x:c r="L11" s="339"/>
      <x:c r="M11" s="339"/>
      <x:c r="N11" s="339"/>
      <x:c r="O11" s="339"/>
      <x:c r="P11" s="339"/>
      <x:c r="Q11" s="339"/>
      <x:c r="R11" s="339"/>
      <x:c r="S11" s="339"/>
      <x:c r="T11" s="339"/>
      <x:c r="U11" s="339"/>
      <x:c r="V11" s="339"/>
      <x:c r="W11" s="339"/>
      <x:c r="X11" s="339"/>
      <x:c r="Y11" s="339"/>
      <x:c r="Z11" s="339"/>
    </x:row>
    <x:row r="12">
      <x:c r="A12" s="28"/>
      <x:c r="B12" s="345"/>
      <x:c r="C12" s="345"/>
      <x:c r="D12" s="28"/>
      <x:c r="E12" s="28"/>
      <x:c r="F12" s="28"/>
      <x:c r="G12" s="28"/>
      <x:c r="H12" s="28"/>
      <x:c r="I12" s="339"/>
      <x:c r="J12" s="339"/>
      <x:c r="K12" s="339"/>
      <x:c r="L12" s="339"/>
      <x:c r="M12" s="339"/>
      <x:c r="N12" s="339"/>
      <x:c r="O12" s="339"/>
      <x:c r="P12" s="339"/>
      <x:c r="Q12" s="339"/>
      <x:c r="R12" s="339"/>
      <x:c r="S12" s="339"/>
      <x:c r="T12" s="339"/>
      <x:c r="U12" s="339"/>
      <x:c r="V12" s="339"/>
      <x:c r="W12" s="339"/>
      <x:c r="X12" s="339"/>
      <x:c r="Y12" s="339"/>
      <x:c r="Z12" s="339"/>
    </x:row>
    <x:row r="13" ht="21" customHeight="1">
      <x:c r="A13" s="368" t="str">
        <x:v>Cohort alignment and central outcome scenario</x:v>
      </x:c>
      <x:c r="B13" s="468" t="str">
        <x:v>Cohort alignment and central outcome scenario</x:v>
      </x:c>
      <x:c r="C13" s="468" t="str">
        <x:v>Cohort alignment and central outcome scenario</x:v>
      </x:c>
      <x:c r="D13" s="368" t="str">
        <x:v>Cohort alignment and central outcome scenario</x:v>
      </x:c>
      <x:c r="E13" s="368" t="str">
        <x:v>Cohort alignment and central outcome scenario</x:v>
      </x:c>
      <x:c r="F13" s="368" t="str">
        <x:v>Cohort alignment and central outcome scenario</x:v>
      </x:c>
      <x:c r="G13" s="368" t="str">
        <x:v>Cohort alignment and central outcome scenario</x:v>
      </x:c>
      <x:c r="H13" s="368" t="str">
        <x:v>Cohort alignment and central outcome scenario</x:v>
      </x:c>
      <x:c r="I13" s="339"/>
      <x:c r="J13" s="339"/>
      <x:c r="K13" s="339"/>
      <x:c r="L13" s="339"/>
      <x:c r="M13" s="339"/>
      <x:c r="N13" s="339"/>
      <x:c r="O13" s="339"/>
      <x:c r="P13" s="339"/>
      <x:c r="Q13" s="339"/>
      <x:c r="R13" s="339"/>
      <x:c r="S13" s="339"/>
      <x:c r="T13" s="339"/>
      <x:c r="U13" s="339"/>
      <x:c r="V13" s="339"/>
      <x:c r="W13" s="339"/>
      <x:c r="X13" s="339"/>
      <x:c r="Y13" s="339"/>
      <x:c r="Z13" s="339"/>
    </x:row>
    <x:row r="14">
      <x:c r="A14" s="28" t="str">
        <x:v>Unique people exposed to programme</x:v>
      </x:c>
      <x:c r="B14" s="348" t="n">
        <x:f>Assumptions!$E$17</x:f>
        <x:v>4200</x:v>
      </x:c>
      <x:c r="C14" s="348" t="n">
        <x:f>Assumptions!$E$32/Assumptions!$E$33</x:f>
        <x:v>62348.6</x:v>
      </x:c>
      <x:c r="D14" s="28" t="str">
        <x:v>people</x:v>
      </x:c>
      <x:c r="E14" s="28" t="str">
        <x:v>S01;S08</x:v>
      </x:c>
      <x:c r="F14" s="28" t="str">
        <x:v>Medium</x:v>
      </x:c>
      <x:c r="G14" s="28" t="str">
        <x:v>Yes</x:v>
      </x:c>
      <x:c r="H14" s="28" t="str">
        <x:v>National benefits use the annual entrant/exit cohort, not the five-year student stock.</x:v>
      </x:c>
      <x:c r="I14" s="339"/>
      <x:c r="J14" s="339"/>
      <x:c r="K14" s="339"/>
      <x:c r="L14" s="339"/>
      <x:c r="M14" s="339"/>
      <x:c r="N14" s="339"/>
      <x:c r="O14" s="339"/>
      <x:c r="P14" s="339"/>
      <x:c r="Q14" s="339"/>
      <x:c r="R14" s="339"/>
      <x:c r="S14" s="339"/>
      <x:c r="T14" s="339"/>
      <x:c r="U14" s="339"/>
      <x:c r="V14" s="339"/>
      <x:c r="W14" s="339"/>
      <x:c r="X14" s="339"/>
      <x:c r="Y14" s="339"/>
      <x:c r="Z14" s="339"/>
    </x:row>
    <x:row r="15">
      <x:c r="A15" s="28" t="str">
        <x:v>Baseline sustained-NEET risk</x:v>
      </x:c>
      <x:c r="B15" s="347" t="n">
        <x:f>Assumptions!$E$29</x:f>
        <x:v>0.25</x:v>
      </x:c>
      <x:c r="C15" s="347" t="n">
        <x:f>Assumptions!$E$40</x:f>
        <x:v>0.15</x:v>
      </x:c>
      <x:c r="D15" s="28" t="str">
        <x:v>%</x:v>
      </x:c>
      <x:c r="E15" s="28" t="str">
        <x:v>S02</x:v>
      </x:c>
      <x:c r="F15" s="28" t="str">
        <x:v>Low</x:v>
      </x:c>
      <x:c r="G15" s="28" t="str">
        <x:v>Yes</x:v>
      </x:c>
      <x:c r="H15" s="28" t="str">
        <x:v>Not the point-in-time national NEET rate.</x:v>
      </x:c>
      <x:c r="I15" s="339"/>
      <x:c r="J15" s="339"/>
      <x:c r="K15" s="339"/>
      <x:c r="L15" s="339"/>
      <x:c r="M15" s="339"/>
      <x:c r="N15" s="339"/>
      <x:c r="O15" s="339"/>
      <x:c r="P15" s="339"/>
      <x:c r="Q15" s="339"/>
      <x:c r="R15" s="339"/>
      <x:c r="S15" s="339"/>
      <x:c r="T15" s="339"/>
      <x:c r="U15" s="339"/>
      <x:c r="V15" s="339"/>
      <x:c r="W15" s="339"/>
      <x:c r="X15" s="339"/>
      <x:c r="Y15" s="339"/>
      <x:c r="Z15" s="339"/>
    </x:row>
    <x:row r="16">
      <x:c r="A16" s="28" t="str">
        <x:v>Relative reduction in sustained-NEET risk</x:v>
      </x:c>
      <x:c r="B16" s="347" t="n">
        <x:f>Assumptions!$E$30</x:f>
        <x:v>0.25</x:v>
      </x:c>
      <x:c r="C16" s="347" t="n">
        <x:f>Assumptions!$E$41</x:f>
        <x:v>0.25</x:v>
      </x:c>
      <x:c r="D16" s="28" t="str">
        <x:v>%</x:v>
      </x:c>
      <x:c r="E16" s="28" t="str">
        <x:v>Scenario</x:v>
      </x:c>
      <x:c r="F16" s="28" t="str">
        <x:v>Low</x:v>
      </x:c>
      <x:c r="G16" s="28" t="str">
        <x:v>Yes</x:v>
      </x:c>
      <x:c r="H16" s="28" t="str">
        <x:v>25% relative reduction means 15.0% becomes 11.25%.</x:v>
      </x:c>
      <x:c r="I16" s="339"/>
      <x:c r="J16" s="339"/>
      <x:c r="K16" s="339"/>
      <x:c r="L16" s="339"/>
      <x:c r="M16" s="339"/>
      <x:c r="N16" s="339"/>
      <x:c r="O16" s="339"/>
      <x:c r="P16" s="339"/>
      <x:c r="Q16" s="339"/>
      <x:c r="R16" s="339"/>
      <x:c r="S16" s="339"/>
      <x:c r="T16" s="339"/>
      <x:c r="U16" s="339"/>
      <x:c r="V16" s="339"/>
      <x:c r="W16" s="339"/>
      <x:c r="X16" s="339"/>
      <x:c r="Y16" s="339"/>
      <x:c r="Z16" s="339"/>
    </x:row>
    <x:row r="17">
      <x:c r="A17" s="28" t="str">
        <x:v>Persistence / attribution factor</x:v>
      </x:c>
      <x:c r="B17" s="347" t="n">
        <x:f>Assumptions!$E$31</x:f>
        <x:v>0.6</x:v>
      </x:c>
      <x:c r="C17" s="347" t="n">
        <x:f>Assumptions!$E$42</x:f>
        <x:v>0.6</x:v>
      </x:c>
      <x:c r="D17" s="28" t="str">
        <x:v>%</x:v>
      </x:c>
      <x:c r="E17" s="28" t="str">
        <x:v>S04;S05</x:v>
      </x:c>
      <x:c r="F17" s="28" t="str">
        <x:v>Low</x:v>
      </x:c>
      <x:c r="G17" s="28" t="str">
        <x:v>Yes</x:v>
      </x:c>
      <x:c r="H17" s="28" t="str">
        <x:v>Haircut for fade-out and causal uncertainty.</x:v>
      </x:c>
      <x:c r="I17" s="339"/>
      <x:c r="J17" s="339"/>
      <x:c r="K17" s="339"/>
      <x:c r="L17" s="339"/>
      <x:c r="M17" s="339"/>
      <x:c r="N17" s="339"/>
      <x:c r="O17" s="339"/>
      <x:c r="P17" s="339"/>
      <x:c r="Q17" s="339"/>
      <x:c r="R17" s="339"/>
      <x:c r="S17" s="339"/>
      <x:c r="T17" s="339"/>
      <x:c r="U17" s="339"/>
      <x:c r="V17" s="339"/>
      <x:c r="W17" s="339"/>
      <x:c r="X17" s="339"/>
      <x:c r="Y17" s="339"/>
      <x:c r="Z17" s="339"/>
    </x:row>
    <x:row r="18">
      <x:c r="A18" s="28" t="str">
        <x:v>Averted sustained NEET cases</x:v>
      </x:c>
      <x:c r="B18" s="348" t="n">
        <x:f>B14*B15*B16*B17</x:f>
        <x:v>157.5</x:v>
      </x:c>
      <x:c r="C18" s="348" t="n">
        <x:f>C14*C15*C16*C17</x:f>
        <x:v>1402.8434999999997</x:v>
      </x:c>
      <x:c r="D18" s="28" t="str">
        <x:v>cases</x:v>
      </x:c>
      <x:c r="E18" s="28" t="str">
        <x:v>Calculated</x:v>
      </x:c>
      <x:c r="F18" s="28" t="str">
        <x:v>Scenario output</x:v>
      </x:c>
      <x:c r="G18" s="28" t="str">
        <x:v>Yes</x:v>
      </x:c>
      <x:c r="H18" s="28" t="str">
        <x:v>Expected cases, not identifiable individuals.</x:v>
      </x:c>
      <x:c r="I18" s="339"/>
      <x:c r="J18" s="339"/>
      <x:c r="K18" s="339"/>
      <x:c r="L18" s="339"/>
      <x:c r="M18" s="339"/>
      <x:c r="N18" s="339"/>
      <x:c r="O18" s="339"/>
      <x:c r="P18" s="339"/>
      <x:c r="Q18" s="339"/>
      <x:c r="R18" s="339"/>
      <x:c r="S18" s="339"/>
      <x:c r="T18" s="339"/>
      <x:c r="U18" s="339"/>
      <x:c r="V18" s="339"/>
      <x:c r="W18" s="339"/>
      <x:c r="X18" s="339"/>
      <x:c r="Y18" s="339"/>
      <x:c r="Z18" s="339"/>
    </x:row>
    <x:row r="19">
      <x:c r="A19" s="28" t="str">
        <x:v>Benefit realisation / overlap haircut</x:v>
      </x:c>
      <x:c r="B19" s="347" t="n">
        <x:f>Assumptions!$E$43</x:f>
        <x:v>0.75</x:v>
      </x:c>
      <x:c r="C19" s="347" t="n">
        <x:f>Assumptions!$E$43</x:f>
        <x:v>0.75</x:v>
      </x:c>
      <x:c r="D19" s="28" t="str">
        <x:v>%</x:v>
      </x:c>
      <x:c r="E19" s="28" t="str">
        <x:v>S04;S05</x:v>
      </x:c>
      <x:c r="F19" s="28" t="str">
        <x:v>Low</x:v>
      </x:c>
      <x:c r="G19" s="28" t="str">
        <x:v>Yes</x:v>
      </x:c>
      <x:c r="H19" s="28" t="str">
        <x:v>Additional prudence for benefit valuation.</x:v>
      </x:c>
      <x:c r="I19" s="339"/>
      <x:c r="J19" s="339"/>
      <x:c r="K19" s="339"/>
      <x:c r="L19" s="339"/>
      <x:c r="M19" s="339"/>
      <x:c r="N19" s="339"/>
      <x:c r="O19" s="339"/>
      <x:c r="P19" s="339"/>
      <x:c r="Q19" s="339"/>
      <x:c r="R19" s="339"/>
      <x:c r="S19" s="339"/>
      <x:c r="T19" s="339"/>
      <x:c r="U19" s="339"/>
      <x:c r="V19" s="339"/>
      <x:c r="W19" s="339"/>
      <x:c r="X19" s="339"/>
      <x:c r="Y19" s="339"/>
      <x:c r="Z19" s="339"/>
    </x:row>
    <x:row r="20">
      <x:c r="A20" s="28"/>
      <x:c r="B20" s="345"/>
      <x:c r="C20" s="345"/>
      <x:c r="D20" s="28"/>
      <x:c r="E20" s="28"/>
      <x:c r="F20" s="28"/>
      <x:c r="G20" s="28"/>
      <x:c r="H20" s="28"/>
      <x:c r="I20" s="339"/>
      <x:c r="J20" s="339"/>
      <x:c r="K20" s="339"/>
      <x:c r="L20" s="339"/>
      <x:c r="M20" s="339"/>
      <x:c r="N20" s="339"/>
      <x:c r="O20" s="339"/>
      <x:c r="P20" s="339"/>
      <x:c r="Q20" s="339"/>
      <x:c r="R20" s="339"/>
      <x:c r="S20" s="339"/>
      <x:c r="T20" s="339"/>
      <x:c r="U20" s="339"/>
      <x:c r="V20" s="339"/>
      <x:c r="W20" s="339"/>
      <x:c r="X20" s="339"/>
      <x:c r="Y20" s="339"/>
      <x:c r="Z20" s="339"/>
    </x:row>
    <x:row r="21" ht="21" customHeight="1">
      <x:c r="A21" s="368" t="str">
        <x:v>Central cost-benefit outputs</x:v>
      </x:c>
      <x:c r="B21" s="468" t="str">
        <x:v>Central cost-benefit outputs</x:v>
      </x:c>
      <x:c r="C21" s="468" t="str">
        <x:v>Central cost-benefit outputs</x:v>
      </x:c>
      <x:c r="D21" s="368" t="str">
        <x:v>Central cost-benefit outputs</x:v>
      </x:c>
      <x:c r="E21" s="368" t="str">
        <x:v>Central cost-benefit outputs</x:v>
      </x:c>
      <x:c r="F21" s="368" t="str">
        <x:v>Central cost-benefit outputs</x:v>
      </x:c>
      <x:c r="G21" s="368" t="str">
        <x:v>Central cost-benefit outputs</x:v>
      </x:c>
      <x:c r="H21" s="368" t="str">
        <x:v>Central cost-benefit outputs</x:v>
      </x:c>
      <x:c r="I21" s="339"/>
      <x:c r="J21" s="339"/>
      <x:c r="K21" s="339"/>
      <x:c r="L21" s="339"/>
      <x:c r="M21" s="339"/>
      <x:c r="N21" s="339"/>
      <x:c r="O21" s="339"/>
      <x:c r="P21" s="339"/>
      <x:c r="Q21" s="339"/>
      <x:c r="R21" s="339"/>
      <x:c r="S21" s="339"/>
      <x:c r="T21" s="339"/>
      <x:c r="U21" s="339"/>
      <x:c r="V21" s="339"/>
      <x:c r="W21" s="339"/>
      <x:c r="X21" s="339"/>
      <x:c r="Y21" s="339"/>
      <x:c r="Z21" s="339"/>
    </x:row>
    <x:row r="22">
      <x:c r="A22" s="28" t="str">
        <x:v>Short-term societal benefit</x:v>
      </x:c>
      <x:c r="B22" s="345" t="n">
        <x:f>B18*$B$8*B19</x:f>
        <x:v>4453459.056764551</x:v>
      </x:c>
      <x:c r="C22" s="345" t="n">
        <x:f>C18*$B$8*C19</x:f>
        <x:v>39666705.33522718</x:v>
      </x:c>
      <x:c r="D22" s="28" t="str">
        <x:v>NZD PV</x:v>
      </x:c>
      <x:c r="E22" s="28" t="str">
        <x:v>S02</x:v>
      </x:c>
      <x:c r="F22" s="28" t="str">
        <x:v>Medium</x:v>
      </x:c>
      <x:c r="G22" s="28" t="str">
        <x:v>Yes</x:v>
      </x:c>
      <x:c r="H22" s="28" t="str">
        <x:v>Uses only Pacheco &amp; Dye's NZ 1–3 year total.</x:v>
      </x:c>
      <x:c r="I22" s="339"/>
      <x:c r="J22" s="339"/>
      <x:c r="K22" s="339"/>
      <x:c r="L22" s="339"/>
      <x:c r="M22" s="339"/>
      <x:c r="N22" s="339"/>
      <x:c r="O22" s="339"/>
      <x:c r="P22" s="339"/>
      <x:c r="Q22" s="339"/>
      <x:c r="R22" s="339"/>
      <x:c r="S22" s="339"/>
      <x:c r="T22" s="339"/>
      <x:c r="U22" s="339"/>
      <x:c r="V22" s="339"/>
      <x:c r="W22" s="339"/>
      <x:c r="X22" s="339"/>
      <x:c r="Y22" s="339"/>
      <x:c r="Z22" s="339"/>
    </x:row>
    <x:row r="23">
      <x:c r="A23" s="28" t="str">
        <x:v>Short-term fiscal benefit</x:v>
      </x:c>
      <x:c r="B23" s="345" t="n">
        <x:f>B18*$B$7*B19</x:f>
        <x:v>1896539.5536182486</x:v>
      </x:c>
      <x:c r="C23" s="345" t="n">
        <x:f>C18*$B$7*C19</x:f>
        <x:v>16892369.430388957</x:v>
      </x:c>
      <x:c r="D23" s="28" t="str">
        <x:v>NZD PV</x:v>
      </x:c>
      <x:c r="E23" s="28" t="str">
        <x:v>S02</x:v>
      </x:c>
      <x:c r="F23" s="28" t="str">
        <x:v>Medium</x:v>
      </x:c>
      <x:c r="G23" s="28" t="str">
        <x:v>Yes</x:v>
      </x:c>
      <x:c r="H23" s="28" t="str">
        <x:v>Narrow public-finance component.</x:v>
      </x:c>
      <x:c r="I23" s="339"/>
      <x:c r="J23" s="339"/>
      <x:c r="K23" s="339"/>
      <x:c r="L23" s="339"/>
      <x:c r="M23" s="339"/>
      <x:c r="N23" s="339"/>
      <x:c r="O23" s="339"/>
      <x:c r="P23" s="339"/>
      <x:c r="Q23" s="339"/>
      <x:c r="R23" s="339"/>
      <x:c r="S23" s="339"/>
      <x:c r="T23" s="339"/>
      <x:c r="U23" s="339"/>
      <x:c r="V23" s="339"/>
      <x:c r="W23" s="339"/>
      <x:c r="X23" s="339"/>
      <x:c r="Y23" s="339"/>
      <x:c r="Z23" s="339"/>
    </x:row>
    <x:row r="24">
      <x:c r="A24" s="28" t="str">
        <x:v>Illustrative lifetime societal benefit</x:v>
      </x:c>
      <x:c r="B24" s="345" t="n">
        <x:f>B18*$B$11*B19</x:f>
        <x:v>42753206.94493969</x:v>
      </x:c>
      <x:c r="C24" s="345" t="n">
        <x:f>C18*$B$11*C19</x:f>
        <x:v>380800371.2181809</x:v>
      </x:c>
      <x:c r="D24" s="28" t="str">
        <x:v>NZD PV</x:v>
      </x:c>
      <x:c r="E24" s="28" t="str">
        <x:v>S02</x:v>
      </x:c>
      <x:c r="F24" s="28" t="str">
        <x:v>Low</x:v>
      </x:c>
      <x:c r="G24" s="28" t="str">
        <x:v>Scenario only</x:v>
      </x:c>
      <x:c r="H24" s="28" t="str">
        <x:v>Uses UK-derived multiplier.</x:v>
      </x:c>
      <x:c r="I24" s="339"/>
      <x:c r="J24" s="339"/>
      <x:c r="K24" s="339"/>
      <x:c r="L24" s="339"/>
      <x:c r="M24" s="339"/>
      <x:c r="N24" s="339"/>
      <x:c r="O24" s="339"/>
      <x:c r="P24" s="339"/>
      <x:c r="Q24" s="339"/>
      <x:c r="R24" s="339"/>
      <x:c r="S24" s="339"/>
      <x:c r="T24" s="339"/>
      <x:c r="U24" s="339"/>
      <x:c r="V24" s="339"/>
      <x:c r="W24" s="339"/>
      <x:c r="X24" s="339"/>
      <x:c r="Y24" s="339"/>
      <x:c r="Z24" s="339"/>
    </x:row>
    <x:row r="25">
      <x:c r="A25" s="28" t="str">
        <x:v>Illustrative lifetime fiscal benefit</x:v>
      </x:c>
      <x:c r="B25" s="345" t="n">
        <x:f>B18*$B$10*B19</x:f>
        <x:v>18206779.714735188</x:v>
      </x:c>
      <x:c r="C25" s="345" t="n">
        <x:f>C18*$B$10*C19</x:f>
        <x:v>162166746.53173402</x:v>
      </x:c>
      <x:c r="D25" s="28" t="str">
        <x:v>NZD PV</x:v>
      </x:c>
      <x:c r="E25" s="28" t="str">
        <x:v>S02</x:v>
      </x:c>
      <x:c r="F25" s="28" t="str">
        <x:v>Low</x:v>
      </x:c>
      <x:c r="G25" s="28" t="str">
        <x:v>Scenario only</x:v>
      </x:c>
      <x:c r="H25" s="28" t="str">
        <x:v>Uses UK-derived multiplier.</x:v>
      </x:c>
      <x:c r="I25" s="339"/>
      <x:c r="J25" s="339"/>
      <x:c r="K25" s="339"/>
      <x:c r="L25" s="339"/>
      <x:c r="M25" s="339"/>
      <x:c r="N25" s="339"/>
      <x:c r="O25" s="339"/>
      <x:c r="P25" s="339"/>
      <x:c r="Q25" s="339"/>
      <x:c r="R25" s="339"/>
      <x:c r="S25" s="339"/>
      <x:c r="T25" s="339"/>
      <x:c r="U25" s="339"/>
      <x:c r="V25" s="339"/>
      <x:c r="W25" s="339"/>
      <x:c r="X25" s="339"/>
      <x:c r="Y25" s="339"/>
      <x:c r="Z25" s="339"/>
    </x:row>
    <x:row r="26">
      <x:c r="A26" s="28" t="str">
        <x:v>Programme cost comparator</x:v>
      </x:c>
      <x:c r="B26" s="345" t="n">
        <x:f>'Stage 1 - Pilot'!$E$6</x:f>
        <x:v>97579970.263125</x:v>
      </x:c>
      <x:c r="C26" s="345" t="n">
        <x:f>'Stage 2 - National'!$H$6</x:f>
        <x:v>1526137729.0833335</x:v>
      </x:c>
      <x:c r="D26" s="28" t="str">
        <x:v>NZD</x:v>
      </x:c>
      <x:c r="E26" s="28" t="str">
        <x:v>Model</x:v>
      </x:c>
      <x:c r="F26" s="28" t="str">
        <x:v>Planning estimate</x:v>
      </x:c>
      <x:c r="G26" s="28" t="str">
        <x:v>Yes</x:v>
      </x:c>
      <x:c r="H26" s="28" t="str">
        <x:v>Pilot uses three-year total; national uses one mature annual cost, equivalent to one entrant cohort's five programme-years at steady state.</x:v>
      </x:c>
      <x:c r="I26" s="339"/>
      <x:c r="J26" s="339"/>
      <x:c r="K26" s="339"/>
      <x:c r="L26" s="339"/>
      <x:c r="M26" s="339"/>
      <x:c r="N26" s="339"/>
      <x:c r="O26" s="339"/>
      <x:c r="P26" s="339"/>
      <x:c r="Q26" s="339"/>
      <x:c r="R26" s="339"/>
      <x:c r="S26" s="339"/>
      <x:c r="T26" s="339"/>
      <x:c r="U26" s="339"/>
      <x:c r="V26" s="339"/>
      <x:c r="W26" s="339"/>
      <x:c r="X26" s="339"/>
      <x:c r="Y26" s="339"/>
      <x:c r="Z26" s="339"/>
    </x:row>
    <x:row r="27">
      <x:c r="A27" s="28" t="str">
        <x:v>Short-term societal BCR</x:v>
      </x:c>
      <x:c r="B27" s="478" t="n">
        <x:f>B22/B26</x:f>
        <x:v>0.04563906962418385</x:v>
      </x:c>
      <x:c r="C27" s="478" t="n">
        <x:f>C22/C26</x:f>
        <x:v>0.025991563264118223</x:v>
      </x:c>
      <x:c r="D27" s="28" t="str">
        <x:v>x</x:v>
      </x:c>
      <x:c r="E27" s="28" t="str">
        <x:v>Calculated</x:v>
      </x:c>
      <x:c r="F27" s="28" t="str">
        <x:v>Medium</x:v>
      </x:c>
      <x:c r="G27" s="28" t="str">
        <x:v>Yes</x:v>
      </x:c>
      <x:c r="H27" s="28" t="str">
        <x:v>Benefits divided by aligned cost.</x:v>
      </x:c>
      <x:c r="I27" s="339"/>
      <x:c r="J27" s="339"/>
      <x:c r="K27" s="339"/>
      <x:c r="L27" s="339"/>
      <x:c r="M27" s="339"/>
      <x:c r="N27" s="339"/>
      <x:c r="O27" s="339"/>
      <x:c r="P27" s="339"/>
      <x:c r="Q27" s="339"/>
      <x:c r="R27" s="339"/>
      <x:c r="S27" s="339"/>
      <x:c r="T27" s="339"/>
      <x:c r="U27" s="339"/>
      <x:c r="V27" s="339"/>
      <x:c r="W27" s="339"/>
      <x:c r="X27" s="339"/>
      <x:c r="Y27" s="339"/>
      <x:c r="Z27" s="339"/>
    </x:row>
    <x:row r="28">
      <x:c r="A28" s="28" t="str">
        <x:v>Short-term fiscal coverage</x:v>
      </x:c>
      <x:c r="B28" s="478" t="n">
        <x:f>B23/B26</x:f>
        <x:v>0.01943574637811651</x:v>
      </x:c>
      <x:c r="C28" s="478" t="n">
        <x:f>C23/C26</x:f>
        <x:v>0.011068705732434299</x:v>
      </x:c>
      <x:c r="D28" s="28" t="str">
        <x:v>x</x:v>
      </x:c>
      <x:c r="E28" s="28" t="str">
        <x:v>Calculated</x:v>
      </x:c>
      <x:c r="F28" s="28" t="str">
        <x:v>Medium</x:v>
      </x:c>
      <x:c r="G28" s="28" t="str">
        <x:v>Yes</x:v>
      </x:c>
      <x:c r="H28" s="28" t="str">
        <x:v>Narrow fiscal savings divided by cost.</x:v>
      </x:c>
      <x:c r="I28" s="339"/>
      <x:c r="J28" s="339"/>
      <x:c r="K28" s="339"/>
      <x:c r="L28" s="339"/>
      <x:c r="M28" s="339"/>
      <x:c r="N28" s="339"/>
      <x:c r="O28" s="339"/>
      <x:c r="P28" s="339"/>
      <x:c r="Q28" s="339"/>
      <x:c r="R28" s="339"/>
      <x:c r="S28" s="339"/>
      <x:c r="T28" s="339"/>
      <x:c r="U28" s="339"/>
      <x:c r="V28" s="339"/>
      <x:c r="W28" s="339"/>
      <x:c r="X28" s="339"/>
      <x:c r="Y28" s="339"/>
      <x:c r="Z28" s="339"/>
    </x:row>
    <x:row r="29">
      <x:c r="A29" s="28" t="str">
        <x:v>Illustrative lifetime societal BCR</x:v>
      </x:c>
      <x:c r="B29" s="478" t="n">
        <x:f>B24/B26</x:f>
        <x:v>0.4381350683921649</x:v>
      </x:c>
      <x:c r="C29" s="478" t="n">
        <x:f>C24/C26</x:f>
        <x:v>0.24951900733553492</x:v>
      </x:c>
      <x:c r="D29" s="28" t="str">
        <x:v>x</x:v>
      </x:c>
      <x:c r="E29" s="28" t="str">
        <x:v>Calculated</x:v>
      </x:c>
      <x:c r="F29" s="28" t="str">
        <x:v>Low</x:v>
      </x:c>
      <x:c r="G29" s="28" t="str">
        <x:v>Scenario only</x:v>
      </x:c>
      <x:c r="H29" s="28" t="str">
        <x:v>Do not present as a forecast.</x:v>
      </x:c>
      <x:c r="I29" s="339"/>
      <x:c r="J29" s="339"/>
      <x:c r="K29" s="339"/>
      <x:c r="L29" s="339"/>
      <x:c r="M29" s="339"/>
      <x:c r="N29" s="339"/>
      <x:c r="O29" s="339"/>
      <x:c r="P29" s="339"/>
      <x:c r="Q29" s="339"/>
      <x:c r="R29" s="339"/>
      <x:c r="S29" s="339"/>
      <x:c r="T29" s="339"/>
      <x:c r="U29" s="339"/>
      <x:c r="V29" s="339"/>
      <x:c r="W29" s="339"/>
      <x:c r="X29" s="339"/>
      <x:c r="Y29" s="339"/>
      <x:c r="Z29" s="339"/>
    </x:row>
    <x:row r="30">
      <x:c r="A30" s="28" t="str">
        <x:v>Illustrative lifetime fiscal coverage</x:v>
      </x:c>
      <x:c r="B30" s="478" t="n">
        <x:f>B25/B26</x:f>
        <x:v>0.18658316522991852</x:v>
      </x:c>
      <x:c r="C30" s="478" t="n">
        <x:f>C25/C26</x:f>
        <x:v>0.10625957503136929</x:v>
      </x:c>
      <x:c r="D30" s="28" t="str">
        <x:v>x</x:v>
      </x:c>
      <x:c r="E30" s="28" t="str">
        <x:v>Calculated</x:v>
      </x:c>
      <x:c r="F30" s="28" t="str">
        <x:v>Low</x:v>
      </x:c>
      <x:c r="G30" s="28" t="str">
        <x:v>Scenario only</x:v>
      </x:c>
      <x:c r="H30" s="28" t="str">
        <x:v>Do not present as guaranteed Crown savings.</x:v>
      </x:c>
      <x:c r="I30" s="339"/>
      <x:c r="J30" s="339"/>
      <x:c r="K30" s="339"/>
      <x:c r="L30" s="339"/>
      <x:c r="M30" s="339"/>
      <x:c r="N30" s="339"/>
      <x:c r="O30" s="339"/>
      <x:c r="P30" s="339"/>
      <x:c r="Q30" s="339"/>
      <x:c r="R30" s="339"/>
      <x:c r="S30" s="339"/>
      <x:c r="T30" s="339"/>
      <x:c r="U30" s="339"/>
      <x:c r="V30" s="339"/>
      <x:c r="W30" s="339"/>
      <x:c r="X30" s="339"/>
      <x:c r="Y30" s="339"/>
      <x:c r="Z30" s="339"/>
    </x:row>
    <x:row r="31">
      <x:c r="A31" s="28"/>
      <x:c r="B31" s="470"/>
      <x:c r="C31" s="470"/>
      <x:c r="D31" s="28"/>
      <x:c r="E31" s="28"/>
      <x:c r="F31" s="28"/>
      <x:c r="G31" s="28"/>
      <x:c r="H31" s="28"/>
      <x:c r="I31" s="339"/>
      <x:c r="J31" s="339"/>
      <x:c r="K31" s="339"/>
      <x:c r="L31" s="339"/>
      <x:c r="M31" s="339"/>
      <x:c r="N31" s="339"/>
      <x:c r="O31" s="339"/>
      <x:c r="P31" s="339"/>
      <x:c r="Q31" s="339"/>
      <x:c r="R31" s="339"/>
      <x:c r="S31" s="339"/>
      <x:c r="T31" s="339"/>
      <x:c r="U31" s="339"/>
      <x:c r="V31" s="339"/>
      <x:c r="W31" s="339"/>
      <x:c r="X31" s="339"/>
      <x:c r="Y31" s="339"/>
      <x:c r="Z31" s="339"/>
    </x:row>
    <x:row r="32" ht="21" customHeight="1">
      <x:c r="A32" s="368" t="str">
        <x:v>The 25% claim — tested, not repeated</x:v>
      </x:c>
      <x:c r="B32" s="471" t="str">
        <x:v>The 25% claim — tested, not repeated</x:v>
      </x:c>
      <x:c r="C32" s="471" t="str">
        <x:v>The 25% claim — tested, not repeated</x:v>
      </x:c>
      <x:c r="D32" s="368" t="str">
        <x:v>The 25% claim — tested, not repeated</x:v>
      </x:c>
      <x:c r="E32" s="368" t="str">
        <x:v>The 25% claim — tested, not repeated</x:v>
      </x:c>
      <x:c r="F32" s="368" t="str">
        <x:v>The 25% claim — tested, not repeated</x:v>
      </x:c>
      <x:c r="G32" s="368" t="str">
        <x:v>The 25% claim — tested, not repeated</x:v>
      </x:c>
      <x:c r="H32" s="368" t="str">
        <x:v>The 25% claim — tested, not repeated</x:v>
      </x:c>
      <x:c r="I32" s="339"/>
      <x:c r="J32" s="339"/>
      <x:c r="K32" s="339"/>
      <x:c r="L32" s="339"/>
      <x:c r="M32" s="339"/>
      <x:c r="N32" s="339"/>
      <x:c r="O32" s="339"/>
      <x:c r="P32" s="339"/>
      <x:c r="Q32" s="339"/>
      <x:c r="R32" s="339"/>
      <x:c r="S32" s="339"/>
      <x:c r="T32" s="339"/>
      <x:c r="U32" s="339"/>
      <x:c r="V32" s="339"/>
      <x:c r="W32" s="339"/>
      <x:c r="X32" s="339"/>
      <x:c r="Y32" s="339"/>
      <x:c r="Z32" s="339"/>
    </x:row>
    <x:row r="33">
      <x:c r="A33" s="28" t="str">
        <x:v>Central national annual entrant/exit cohort</x:v>
      </x:c>
      <x:c r="B33" s="470" t="str"/>
      <x:c r="C33" s="348" t="n">
        <x:f>C14</x:f>
        <x:v>62348.6</x:v>
      </x:c>
      <x:c r="D33" s="28" t="str">
        <x:v>people</x:v>
      </x:c>
      <x:c r="E33" s="28" t="str">
        <x:v>S08</x:v>
      </x:c>
      <x:c r="F33" s="28" t="str">
        <x:v>Medium</x:v>
      </x:c>
      <x:c r="G33" s="28" t="str">
        <x:v>Yes</x:v>
      </x:c>
      <x:c r="H33" s="28" t="str">
        <x:v>About one-fifth of the eligible student stock under a five-year programme.</x:v>
      </x:c>
      <x:c r="I33" s="339"/>
      <x:c r="J33" s="339"/>
      <x:c r="K33" s="339"/>
      <x:c r="L33" s="339"/>
      <x:c r="M33" s="339"/>
      <x:c r="N33" s="339"/>
      <x:c r="O33" s="339"/>
      <x:c r="P33" s="339"/>
      <x:c r="Q33" s="339"/>
      <x:c r="R33" s="339"/>
      <x:c r="S33" s="339"/>
      <x:c r="T33" s="339"/>
      <x:c r="U33" s="339"/>
      <x:c r="V33" s="339"/>
      <x:c r="W33" s="339"/>
      <x:c r="X33" s="339"/>
      <x:c r="Y33" s="339"/>
      <x:c r="Z33" s="339"/>
    </x:row>
    <x:row r="34">
      <x:c r="A34" s="28" t="str">
        <x:v>Averted sustained cases at 25% relative reduction</x:v>
      </x:c>
      <x:c r="B34" s="470" t="str"/>
      <x:c r="C34" s="348" t="n">
        <x:f>C18</x:f>
        <x:v>1402.8434999999997</x:v>
      </x:c>
      <x:c r="D34" s="28" t="str">
        <x:v>cases</x:v>
      </x:c>
      <x:c r="E34" s="28" t="str">
        <x:v>Calculated</x:v>
      </x:c>
      <x:c r="F34" s="28" t="str">
        <x:v>Low</x:v>
      </x:c>
      <x:c r="G34" s="28" t="str">
        <x:v>Yes</x:v>
      </x:c>
      <x:c r="H34" s="28" t="str">
        <x:v>Includes baseline risk and persistence/attribution haircut.</x:v>
      </x:c>
      <x:c r="I34" s="339"/>
      <x:c r="J34" s="339"/>
      <x:c r="K34" s="339"/>
      <x:c r="L34" s="339"/>
      <x:c r="M34" s="339"/>
      <x:c r="N34" s="339"/>
      <x:c r="O34" s="339"/>
      <x:c r="P34" s="339"/>
      <x:c r="Q34" s="339"/>
      <x:c r="R34" s="339"/>
      <x:c r="S34" s="339"/>
      <x:c r="T34" s="339"/>
      <x:c r="U34" s="339"/>
      <x:c r="V34" s="339"/>
      <x:c r="W34" s="339"/>
      <x:c r="X34" s="339"/>
      <x:c r="Y34" s="339"/>
      <x:c r="Z34" s="339"/>
    </x:row>
    <x:row r="35">
      <x:c r="A35" s="28" t="str">
        <x:v>Illustrative lifetime societal benefit</x:v>
      </x:c>
      <x:c r="B35" s="470" t="str"/>
      <x:c r="C35" s="345" t="n">
        <x:f>C24</x:f>
        <x:v>380800371.2181809</x:v>
      </x:c>
      <x:c r="D35" s="28" t="str">
        <x:v>NZD PV</x:v>
      </x:c>
      <x:c r="E35" s="28" t="str">
        <x:v>S02</x:v>
      </x:c>
      <x:c r="F35" s="28" t="str">
        <x:v>Low</x:v>
      </x:c>
      <x:c r="G35" s="28" t="str">
        <x:v>Scenario only</x:v>
      </x:c>
      <x:c r="H35" s="28" t="str">
        <x:v>Less than the mature annual programme cost in the central case.</x:v>
      </x:c>
      <x:c r="I35" s="339"/>
      <x:c r="J35" s="339"/>
      <x:c r="K35" s="339"/>
      <x:c r="L35" s="339"/>
      <x:c r="M35" s="339"/>
      <x:c r="N35" s="339"/>
      <x:c r="O35" s="339"/>
      <x:c r="P35" s="339"/>
      <x:c r="Q35" s="339"/>
      <x:c r="R35" s="339"/>
      <x:c r="S35" s="339"/>
      <x:c r="T35" s="339"/>
      <x:c r="U35" s="339"/>
      <x:c r="V35" s="339"/>
      <x:c r="W35" s="339"/>
      <x:c r="X35" s="339"/>
      <x:c r="Y35" s="339"/>
      <x:c r="Z35" s="339"/>
    </x:row>
    <x:row r="36">
      <x:c r="A36" s="28" t="str">
        <x:v>Mature annual national programme cost</x:v>
      </x:c>
      <x:c r="B36" s="470" t="str"/>
      <x:c r="C36" s="345" t="n">
        <x:f>C26</x:f>
        <x:v>1526137729.0833335</x:v>
      </x:c>
      <x:c r="D36" s="28" t="str">
        <x:v>NZD</x:v>
      </x:c>
      <x:c r="E36" s="28" t="str">
        <x:v>Model</x:v>
      </x:c>
      <x:c r="F36" s="28" t="str">
        <x:v>Planning estimate</x:v>
      </x:c>
      <x:c r="G36" s="28" t="str">
        <x:v>Yes</x:v>
      </x:c>
      <x:c r="H36" s="28" t="str">
        <x:v>Cost of supporting five overlapping school-year cohorts.</x:v>
      </x:c>
      <x:c r="I36" s="339"/>
      <x:c r="J36" s="339"/>
      <x:c r="K36" s="339"/>
      <x:c r="L36" s="339"/>
      <x:c r="M36" s="339"/>
      <x:c r="N36" s="339"/>
      <x:c r="O36" s="339"/>
      <x:c r="P36" s="339"/>
      <x:c r="Q36" s="339"/>
      <x:c r="R36" s="339"/>
      <x:c r="S36" s="339"/>
      <x:c r="T36" s="339"/>
      <x:c r="U36" s="339"/>
      <x:c r="V36" s="339"/>
      <x:c r="W36" s="339"/>
      <x:c r="X36" s="339"/>
      <x:c r="Y36" s="339"/>
      <x:c r="Z36" s="339"/>
    </x:row>
    <x:row r="37">
      <x:c r="A37" s="28" t="str">
        <x:v>Illustrative lifetime societal BCR</x:v>
      </x:c>
      <x:c r="B37" s="470" t="str"/>
      <x:c r="C37" s="478" t="n">
        <x:f>C29</x:f>
        <x:v>0.24951900733553492</x:v>
      </x:c>
      <x:c r="D37" s="28" t="str">
        <x:v>x</x:v>
      </x:c>
      <x:c r="E37" s="28" t="str">
        <x:v>Calculated</x:v>
      </x:c>
      <x:c r="F37" s="28" t="str">
        <x:v>Low</x:v>
      </x:c>
      <x:c r="G37" s="28" t="str">
        <x:v>Scenario only</x:v>
      </x:c>
      <x:c r="H37" s="28" t="str">
        <x:v>Central 25% relative reduction does not pay for the national programme.</x:v>
      </x:c>
      <x:c r="I37" s="339"/>
      <x:c r="J37" s="339"/>
      <x:c r="K37" s="339"/>
      <x:c r="L37" s="339"/>
      <x:c r="M37" s="339"/>
      <x:c r="N37" s="339"/>
      <x:c r="O37" s="339"/>
      <x:c r="P37" s="339"/>
      <x:c r="Q37" s="339"/>
      <x:c r="R37" s="339"/>
      <x:c r="S37" s="339"/>
      <x:c r="T37" s="339"/>
      <x:c r="U37" s="339"/>
      <x:c r="V37" s="339"/>
      <x:c r="W37" s="339"/>
      <x:c r="X37" s="339"/>
      <x:c r="Y37" s="339"/>
      <x:c r="Z37" s="339"/>
    </x:row>
    <x:row r="38">
      <x:c r="A38" s="28" t="str">
        <x:v>Break-even relative reduction — lifetime societal</x:v>
      </x:c>
      <x:c r="B38" s="470" t="str"/>
      <x:c r="C38" s="347" t="n">
        <x:f>C26/(C14*C15*C17*$B$11*C19)</x:f>
        <x:v>1.0019276794565726</x:v>
      </x:c>
      <x:c r="D38" s="28" t="str">
        <x:v>%</x:v>
      </x:c>
      <x:c r="E38" s="28" t="str">
        <x:v>Reverse calculation</x:v>
      </x:c>
      <x:c r="F38" s="28" t="str">
        <x:v>Low</x:v>
      </x:c>
      <x:c r="G38" s="28" t="str">
        <x:v>Scenario only</x:v>
      </x:c>
      <x:c r="H38" s="28" t="str">
        <x:v>If above 100%, even eliminating all modelled sustained risk would not break even under these assumptions.</x:v>
      </x:c>
      <x:c r="I38" s="339"/>
      <x:c r="J38" s="339"/>
      <x:c r="K38" s="339"/>
      <x:c r="L38" s="339"/>
      <x:c r="M38" s="339"/>
      <x:c r="N38" s="339"/>
      <x:c r="O38" s="339"/>
      <x:c r="P38" s="339"/>
      <x:c r="Q38" s="339"/>
      <x:c r="R38" s="339"/>
      <x:c r="S38" s="339"/>
      <x:c r="T38" s="339"/>
      <x:c r="U38" s="339"/>
      <x:c r="V38" s="339"/>
      <x:c r="W38" s="339"/>
      <x:c r="X38" s="339"/>
      <x:c r="Y38" s="339"/>
      <x:c r="Z38" s="339"/>
    </x:row>
    <x:row r="39">
      <x:c r="A39" s="28" t="str">
        <x:v>Break-even relative reduction — lifetime fiscal</x:v>
      </x:c>
      <x:c r="B39" s="470" t="str"/>
      <x:c r="C39" s="347" t="n">
        <x:f>C26/(C14*C15*C17*$B$10*C19)</x:f>
        <x:v>2.3527291533605</x:v>
      </x:c>
      <x:c r="D39" s="28" t="str">
        <x:v>%</x:v>
      </x:c>
      <x:c r="E39" s="28" t="str">
        <x:v>Reverse calculation</x:v>
      </x:c>
      <x:c r="F39" s="28" t="str">
        <x:v>Low</x:v>
      </x:c>
      <x:c r="G39" s="28" t="str">
        <x:v>Scenario only</x:v>
      </x:c>
      <x:c r="H39" s="28" t="str">
        <x:v>Narrow Crown break-even is substantially harder.</x:v>
      </x:c>
      <x:c r="I39" s="339"/>
      <x:c r="J39" s="339"/>
      <x:c r="K39" s="339"/>
      <x:c r="L39" s="339"/>
      <x:c r="M39" s="339"/>
      <x:c r="N39" s="339"/>
      <x:c r="O39" s="339"/>
      <x:c r="P39" s="339"/>
      <x:c r="Q39" s="339"/>
      <x:c r="R39" s="339"/>
      <x:c r="S39" s="339"/>
      <x:c r="T39" s="339"/>
      <x:c r="U39" s="339"/>
      <x:c r="V39" s="339"/>
      <x:c r="W39" s="339"/>
      <x:c r="X39" s="339"/>
      <x:c r="Y39" s="339"/>
      <x:c r="Z39" s="339"/>
    </x:row>
    <x:row r="40">
      <x:c r="A40" s="28"/>
      <x:c r="B40" s="28"/>
      <x:c r="C40" s="28"/>
      <x:c r="D40" s="28"/>
      <x:c r="E40" s="28"/>
      <x:c r="F40" s="28"/>
      <x:c r="G40" s="28"/>
      <x:c r="H40" s="28"/>
      <x:c r="I40" s="339"/>
      <x:c r="J40" s="339"/>
      <x:c r="K40" s="339"/>
      <x:c r="L40" s="339"/>
      <x:c r="M40" s="339"/>
      <x:c r="N40" s="339"/>
      <x:c r="O40" s="339"/>
      <x:c r="P40" s="339"/>
      <x:c r="Q40" s="339"/>
      <x:c r="R40" s="339"/>
      <x:c r="S40" s="339"/>
      <x:c r="T40" s="339"/>
      <x:c r="U40" s="339"/>
      <x:c r="V40" s="339"/>
      <x:c r="W40" s="339"/>
      <x:c r="X40" s="339"/>
      <x:c r="Y40" s="339"/>
      <x:c r="Z40" s="339"/>
    </x:row>
    <x:row r="41" ht="21" customHeight="1">
      <x:c r="A41" s="368" t="str">
        <x:v>Why the tempting $8b-style calculation is invalid</x:v>
      </x:c>
      <x:c r="B41" s="368" t="str">
        <x:v>Why the tempting $8b-style calculation is invalid</x:v>
      </x:c>
      <x:c r="C41" s="368" t="str">
        <x:v>Why the tempting $8b-style calculation is invalid</x:v>
      </x:c>
      <x:c r="D41" s="368" t="str">
        <x:v>Why the tempting $8b-style calculation is invalid</x:v>
      </x:c>
      <x:c r="E41" s="368" t="str">
        <x:v>Why the tempting $8b-style calculation is invalid</x:v>
      </x:c>
      <x:c r="F41" s="368" t="str">
        <x:v>Why the tempting $8b-style calculation is invalid</x:v>
      </x:c>
      <x:c r="G41" s="368" t="str">
        <x:v>Why the tempting $8b-style calculation is invalid</x:v>
      </x:c>
      <x:c r="H41" s="368" t="str">
        <x:v>Why the tempting $8b-style calculation is invalid</x:v>
      </x:c>
      <x:c r="I41" s="339"/>
      <x:c r="J41" s="339"/>
      <x:c r="K41" s="339"/>
      <x:c r="L41" s="339"/>
      <x:c r="M41" s="339"/>
      <x:c r="N41" s="339"/>
      <x:c r="O41" s="339"/>
      <x:c r="P41" s="339"/>
      <x:c r="Q41" s="339"/>
      <x:c r="R41" s="339"/>
      <x:c r="S41" s="339"/>
      <x:c r="T41" s="339"/>
      <x:c r="U41" s="339"/>
      <x:c r="V41" s="339"/>
      <x:c r="W41" s="339"/>
      <x:c r="X41" s="339"/>
      <x:c r="Y41" s="339"/>
      <x:c r="Z41" s="339"/>
    </x:row>
    <x:row r="42">
      <x:c r="A42" s="28" t="str">
        <x:v>Tempting calculation</x:v>
      </x:c>
      <x:c r="B42" s="28" t="str">
        <x:v>90,000 current NEET × 25% × lifetime cost</x:v>
      </x:c>
      <x:c r="C42" s="28" t="str">
        <x:v>Looks large</x:v>
      </x:c>
      <x:c r="D42" s="28" t="str">
        <x:v>—</x:v>
      </x:c>
      <x:c r="E42" s="28" t="str">
        <x:v>—</x:v>
      </x:c>
      <x:c r="F42" s="28" t="str">
        <x:v>Invalid</x:v>
      </x:c>
      <x:c r="G42" s="28" t="str">
        <x:v>No</x:v>
      </x:c>
      <x:c r="H42" s="28" t="str">
        <x:v>It combines a 10-year age-stock with a one-year programme cost and assumes all avoided cases are sustained, attributable and monetisable.</x:v>
      </x:c>
      <x:c r="I42" s="339"/>
      <x:c r="J42" s="339"/>
      <x:c r="K42" s="339"/>
      <x:c r="L42" s="339"/>
      <x:c r="M42" s="339"/>
      <x:c r="N42" s="339"/>
      <x:c r="O42" s="339"/>
      <x:c r="P42" s="339"/>
      <x:c r="Q42" s="339"/>
      <x:c r="R42" s="339"/>
      <x:c r="S42" s="339"/>
      <x:c r="T42" s="339"/>
      <x:c r="U42" s="339"/>
      <x:c r="V42" s="339"/>
      <x:c r="W42" s="339"/>
      <x:c r="X42" s="339"/>
      <x:c r="Y42" s="339"/>
      <x:c r="Z42" s="339"/>
    </x:row>
    <x:row r="43">
      <x:c r="A43" s="28" t="str">
        <x:v>Correct unit of analysis</x:v>
      </x:c>
      <x:c r="B43" s="28" t="str">
        <x:v>Annual entrant/exit cohort under a five-year school programme</x:v>
      </x:c>
      <x:c r="C43" s="28" t="str">
        <x:v>Cohort-aligned</x:v>
      </x:c>
      <x:c r="D43" s="28" t="str">
        <x:v>—</x:v>
      </x:c>
      <x:c r="E43" s="28" t="str">
        <x:v>S04;S05</x:v>
      </x:c>
      <x:c r="F43" s="28" t="str">
        <x:v>Required</x:v>
      </x:c>
      <x:c r="G43" s="28" t="str">
        <x:v>Yes</x:v>
      </x:c>
      <x:c r="H43" s="28" t="str">
        <x:v>One mature annual programme cost corresponds to one cohort's five years of support.</x:v>
      </x:c>
      <x:c r="I43" s="339"/>
      <x:c r="J43" s="339"/>
      <x:c r="K43" s="339"/>
      <x:c r="L43" s="339"/>
      <x:c r="M43" s="339"/>
      <x:c r="N43" s="339"/>
      <x:c r="O43" s="339"/>
      <x:c r="P43" s="339"/>
      <x:c r="Q43" s="339"/>
      <x:c r="R43" s="339"/>
      <x:c r="S43" s="339"/>
      <x:c r="T43" s="339"/>
      <x:c r="U43" s="339"/>
      <x:c r="V43" s="339"/>
      <x:c r="W43" s="339"/>
      <x:c r="X43" s="339"/>
      <x:c r="Y43" s="339"/>
      <x:c r="Z43" s="339"/>
    </x:row>
    <x:row r="44">
      <x:c r="A44" s="28" t="str">
        <x:v>Relative vs percentage-point reduction</x:v>
      </x:c>
      <x:c r="B44" s="28" t="str">
        <x:v>25% relative reduction of a 15% risk = 3.75 percentage points</x:v>
      </x:c>
      <x:c r="C44" s="28" t="str">
        <x:v>15.0% → 11.25%</x:v>
      </x:c>
      <x:c r="D44" s="28" t="str">
        <x:v>—</x:v>
      </x:c>
      <x:c r="E44" s="28" t="str">
        <x:v>Scenario</x:v>
      </x:c>
      <x:c r="F44" s="28" t="str">
        <x:v>Required</x:v>
      </x:c>
      <x:c r="G44" s="28" t="str">
        <x:v>Yes</x:v>
      </x:c>
      <x:c r="H44" s="28" t="str">
        <x:v>A 25 percentage-point fall would be impossible from a 15% baseline.</x:v>
      </x:c>
      <x:c r="I44" s="339"/>
      <x:c r="J44" s="339"/>
      <x:c r="K44" s="339"/>
      <x:c r="L44" s="339"/>
      <x:c r="M44" s="339"/>
      <x:c r="N44" s="339"/>
      <x:c r="O44" s="339"/>
      <x:c r="P44" s="339"/>
      <x:c r="Q44" s="339"/>
      <x:c r="R44" s="339"/>
      <x:c r="S44" s="339"/>
      <x:c r="T44" s="339"/>
      <x:c r="U44" s="339"/>
      <x:c r="V44" s="339"/>
      <x:c r="W44" s="339"/>
      <x:c r="X44" s="339"/>
      <x:c r="Y44" s="339"/>
      <x:c r="Z44" s="339"/>
    </x:row>
    <x:row r="45">
      <x:c r="A45" s="349" t="str">
        <x:v>Conclusion</x:v>
      </x:c>
      <x:c r="B45" s="349" t="str">
        <x:v>A 25% relative reduction is valuable, but does not fund the central national model</x:v>
      </x:c>
      <x:c r="C45" s="349" t="str">
        <x:v>Do not claim self-funding</x:v>
      </x:c>
      <x:c r="D45" s="349" t="str">
        <x:v>—</x:v>
      </x:c>
      <x:c r="E45" s="349" t="str">
        <x:v>Calculated</x:v>
      </x:c>
      <x:c r="F45" s="349" t="str">
        <x:v>High</x:v>
      </x:c>
      <x:c r="G45" s="349" t="str">
        <x:v>Yes</x:v>
      </x:c>
      <x:c r="H45" s="349" t="str">
        <x:v>The pilot must establish effectiveness and identify a materially cheaper or better-targeted delivery model.</x:v>
      </x:c>
      <x:c r="I45" s="339"/>
      <x:c r="J45" s="339"/>
      <x:c r="K45" s="339"/>
      <x:c r="L45" s="339"/>
      <x:c r="M45" s="339"/>
      <x:c r="N45" s="339"/>
      <x:c r="O45" s="339"/>
      <x:c r="P45" s="339"/>
      <x:c r="Q45" s="339"/>
      <x:c r="R45" s="339"/>
      <x:c r="S45" s="339"/>
      <x:c r="T45" s="339"/>
      <x:c r="U45" s="339"/>
      <x:c r="V45" s="339"/>
      <x:c r="W45" s="339"/>
      <x:c r="X45" s="339"/>
      <x:c r="Y45" s="339"/>
      <x:c r="Z45" s="339"/>
    </x:row>
    <x:row r="46">
      <x:c r="A46" s="28"/>
      <x:c r="B46" s="28"/>
      <x:c r="C46" s="28"/>
      <x:c r="D46" s="28"/>
      <x:c r="E46" s="28"/>
      <x:c r="F46" s="28"/>
      <x:c r="G46" s="28"/>
      <x:c r="H46" s="28"/>
      <x:c r="I46" s="339"/>
      <x:c r="J46" s="339"/>
      <x:c r="K46" s="339"/>
      <x:c r="L46" s="339"/>
      <x:c r="M46" s="339"/>
      <x:c r="N46" s="339"/>
      <x:c r="O46" s="339"/>
      <x:c r="P46" s="339"/>
      <x:c r="Q46" s="339"/>
      <x:c r="R46" s="339"/>
      <x:c r="S46" s="339"/>
      <x:c r="T46" s="339"/>
      <x:c r="U46" s="339"/>
      <x:c r="V46" s="339"/>
      <x:c r="W46" s="339"/>
      <x:c r="X46" s="339"/>
      <x:c r="Y46" s="339"/>
      <x:c r="Z46" s="339"/>
    </x:row>
    <x:row r="47" ht="21" customHeight="1">
      <x:c r="A47" s="368" t="str">
        <x:v>Optional downstream impacts — identified but excluded from headline BCR</x:v>
      </x:c>
      <x:c r="B47" s="368" t="str">
        <x:v>Optional downstream impacts — identified but excluded from headline BCR</x:v>
      </x:c>
      <x:c r="C47" s="368" t="str">
        <x:v>Optional downstream impacts — identified but excluded from headline BCR</x:v>
      </x:c>
      <x:c r="D47" s="368" t="str">
        <x:v>Optional downstream impacts — identified but excluded from headline BCR</x:v>
      </x:c>
      <x:c r="E47" s="368" t="str">
        <x:v>Optional downstream impacts — identified but excluded from headline BCR</x:v>
      </x:c>
      <x:c r="F47" s="368" t="str">
        <x:v>Optional downstream impacts — identified but excluded from headline BCR</x:v>
      </x:c>
      <x:c r="G47" s="368" t="str">
        <x:v>Optional downstream impacts — identified but excluded from headline BCR</x:v>
      </x:c>
      <x:c r="H47" s="368" t="str">
        <x:v>Optional downstream impacts — identified but excluded from headline BCR</x:v>
      </x:c>
      <x:c r="I47" s="339"/>
      <x:c r="J47" s="339"/>
      <x:c r="K47" s="339"/>
      <x:c r="L47" s="339"/>
      <x:c r="M47" s="339"/>
      <x:c r="N47" s="339"/>
      <x:c r="O47" s="339"/>
      <x:c r="P47" s="339"/>
      <x:c r="Q47" s="339"/>
      <x:c r="R47" s="339"/>
      <x:c r="S47" s="339"/>
      <x:c r="T47" s="339"/>
      <x:c r="U47" s="339"/>
      <x:c r="V47" s="339"/>
      <x:c r="W47" s="339"/>
      <x:c r="X47" s="339"/>
      <x:c r="Y47" s="339"/>
      <x:c r="Z47" s="339"/>
    </x:row>
    <x:row r="48">
      <x:c r="A48" s="28" t="str">
        <x:v>Avoided Jobseeker Support</x:v>
      </x:c>
      <x:c r="B48" s="28" t="str">
        <x:v>Potential welfare saving</x:v>
      </x:c>
      <x:c r="C48" s="28" t="str">
        <x:v>$17,167 per person-year</x:v>
      </x:c>
      <x:c r="D48" s="28" t="str">
        <x:v>S21</x:v>
      </x:c>
      <x:c r="E48" s="28" t="str">
        <x:v>Official unit value</x:v>
      </x:c>
      <x:c r="F48" s="28" t="str">
        <x:v>Excluded</x:v>
      </x:c>
      <x:c r="G48" s="28" t="str">
        <x:v>Already overlaps with Pacheco public-finance component; requires duration and receipt probability.</x:v>
      </x:c>
      <x:c r="H48" s="28" t="str"/>
      <x:c r="I48" s="339"/>
      <x:c r="J48" s="339"/>
      <x:c r="K48" s="339"/>
      <x:c r="L48" s="339"/>
      <x:c r="M48" s="339"/>
      <x:c r="N48" s="339"/>
      <x:c r="O48" s="339"/>
      <x:c r="P48" s="339"/>
      <x:c r="Q48" s="339"/>
      <x:c r="R48" s="339"/>
      <x:c r="S48" s="339"/>
      <x:c r="T48" s="339"/>
      <x:c r="U48" s="339"/>
      <x:c r="V48" s="339"/>
      <x:c r="W48" s="339"/>
      <x:c r="X48" s="339"/>
      <x:c r="Y48" s="339"/>
      <x:c r="Z48" s="339"/>
    </x:row>
    <x:row r="49">
      <x:c r="A49" s="28" t="str">
        <x:v>Additional income tax and ACC</x:v>
      </x:c>
      <x:c r="B49" s="28" t="str">
        <x:v>Potential additional Crown revenue</x:v>
      </x:c>
      <x:c r="C49" s="28" t="str">
        <x:v>$123 marginal annual value for no qualification → upper secondary</x:v>
      </x:c>
      <x:c r="D49" s="28" t="str">
        <x:v>S21</x:v>
      </x:c>
      <x:c r="E49" s="28" t="str">
        <x:v>Official unit value</x:v>
      </x:c>
      <x:c r="F49" s="28" t="str">
        <x:v>Excluded</x:v>
      </x:c>
      <x:c r="G49" s="28" t="str">
        <x:v>Small CBAx marginal value and may overlap with Pacheco.</x:v>
      </x:c>
      <x:c r="H49" s="28" t="str"/>
      <x:c r="I49" s="339"/>
      <x:c r="J49" s="339"/>
      <x:c r="K49" s="339"/>
      <x:c r="L49" s="339"/>
      <x:c r="M49" s="339"/>
      <x:c r="N49" s="339"/>
      <x:c r="O49" s="339"/>
      <x:c r="P49" s="339"/>
      <x:c r="Q49" s="339"/>
      <x:c r="R49" s="339"/>
      <x:c r="S49" s="339"/>
      <x:c r="T49" s="339"/>
      <x:c r="U49" s="339"/>
      <x:c r="V49" s="339"/>
      <x:c r="W49" s="339"/>
      <x:c r="X49" s="339"/>
      <x:c r="Y49" s="339"/>
      <x:c r="Z49" s="339"/>
    </x:row>
    <x:row r="50">
      <x:c r="A50" s="28" t="str">
        <x:v>Reduced police, diversion and corrections demand</x:v>
      </x:c>
      <x:c r="B50" s="28" t="str">
        <x:v>Potential justice saving</x:v>
      </x:c>
      <x:c r="C50" s="28" t="str">
        <x:v>Police $152/hour; low-risk diversion $4,638; sentenced inmate $211,350/year</x:v>
      </x:c>
      <x:c r="D50" s="28" t="str">
        <x:v>S21</x:v>
      </x:c>
      <x:c r="E50" s="28" t="str">
        <x:v>Official unit values</x:v>
      </x:c>
      <x:c r="F50" s="28" t="str">
        <x:v>Excluded</x:v>
      </x:c>
      <x:c r="G50" s="28" t="str">
        <x:v>No credible incidence change has yet been estimated; custody savings are not one-for-one cash releases.</x:v>
      </x:c>
      <x:c r="H50" s="28" t="str"/>
      <x:c r="I50" s="339"/>
      <x:c r="J50" s="339"/>
      <x:c r="K50" s="339"/>
      <x:c r="L50" s="339"/>
      <x:c r="M50" s="339"/>
      <x:c r="N50" s="339"/>
      <x:c r="O50" s="339"/>
      <x:c r="P50" s="339"/>
      <x:c r="Q50" s="339"/>
      <x:c r="R50" s="339"/>
      <x:c r="S50" s="339"/>
      <x:c r="T50" s="339"/>
      <x:c r="U50" s="339"/>
      <x:c r="V50" s="339"/>
      <x:c r="W50" s="339"/>
      <x:c r="X50" s="339"/>
      <x:c r="Y50" s="339"/>
      <x:c r="Z50" s="339"/>
    </x:row>
    <x:row r="51">
      <x:c r="A51" s="28" t="str">
        <x:v>Reduced unemployment wellbeing loss</x:v>
      </x:c>
      <x:c r="B51" s="28" t="str">
        <x:v>Potential non-fiscal wellbeing benefit</x:v>
      </x:c>
      <x:c r="C51" s="28" t="str">
        <x:v>$9,545/person-year</x:v>
      </x:c>
      <x:c r="D51" s="28" t="str">
        <x:v>S21</x:v>
      </x:c>
      <x:c r="E51" s="28" t="str">
        <x:v>Official unit value</x:v>
      </x:c>
      <x:c r="F51" s="28" t="str">
        <x:v>Excluded</x:v>
      </x:c>
      <x:c r="G51" s="28" t="str">
        <x:v>Non-government wellbeing impact; requires duration and counterfactual.</x:v>
      </x:c>
      <x:c r="H51" s="28" t="str"/>
      <x:c r="I51" s="339"/>
      <x:c r="J51" s="339"/>
      <x:c r="K51" s="339"/>
      <x:c r="L51" s="339"/>
      <x:c r="M51" s="339"/>
      <x:c r="N51" s="339"/>
      <x:c r="O51" s="339"/>
      <x:c r="P51" s="339"/>
      <x:c r="Q51" s="339"/>
      <x:c r="R51" s="339"/>
      <x:c r="S51" s="339"/>
      <x:c r="T51" s="339"/>
      <x:c r="U51" s="339"/>
      <x:c r="V51" s="339"/>
      <x:c r="W51" s="339"/>
      <x:c r="X51" s="339"/>
      <x:c r="Y51" s="339"/>
      <x:c r="Z51" s="339"/>
    </x:row>
    <x:row r="52">
      <x:c r="A52" s="28" t="str">
        <x:v>Higher earnings, productivity and GDP</x:v>
      </x:c>
      <x:c r="B52" s="28" t="str">
        <x:v>Core societal benefit</x:v>
      </x:c>
      <x:c r="C52" s="28" t="str">
        <x:v>Captured partly in Pacheco productivity component</x:v>
      </x:c>
      <x:c r="D52" s="28" t="str">
        <x:v>S02</x:v>
      </x:c>
      <x:c r="E52" s="28" t="str">
        <x:v>Medium</x:v>
      </x:c>
      <x:c r="F52" s="28" t="str">
        <x:v>Included through Pacheco only</x:v>
      </x:c>
      <x:c r="G52" s="28" t="str">
        <x:v>Do not add a second earnings stream without removing overlap.</x:v>
      </x:c>
      <x:c r="H52" s="28" t="str"/>
      <x:c r="I52" s="339"/>
      <x:c r="J52" s="339"/>
      <x:c r="K52" s="339"/>
      <x:c r="L52" s="339"/>
      <x:c r="M52" s="339"/>
      <x:c r="N52" s="339"/>
      <x:c r="O52" s="339"/>
      <x:c r="P52" s="339"/>
      <x:c r="Q52" s="339"/>
      <x:c r="R52" s="339"/>
      <x:c r="S52" s="339"/>
      <x:c r="T52" s="339"/>
      <x:c r="U52" s="339"/>
      <x:c r="V52" s="339"/>
      <x:c r="W52" s="339"/>
      <x:c r="X52" s="339"/>
      <x:c r="Y52" s="339"/>
      <x:c r="Z52" s="339"/>
    </x:row>
    <x:row r="53">
      <x:c r="A53" s="28" t="str">
        <x:v>Larger future tax base for an ageing population</x:v>
      </x:c>
      <x:c r="B53" s="28" t="str">
        <x:v>Strategic fiscal benefit</x:v>
      </x:c>
      <x:c r="C53" s="28" t="str">
        <x:v>Not monetised here</x:v>
      </x:c>
      <x:c r="D53" s="28" t="str">
        <x:v>S01;S23</x:v>
      </x:c>
      <x:c r="E53" s="28" t="str">
        <x:v>Qualitative</x:v>
      </x:c>
      <x:c r="F53" s="28" t="str">
        <x:v>Excluded</x:v>
      </x:c>
      <x:c r="G53" s="28" t="str">
        <x:v>Requires long-run labour-force, migration and fiscal modelling.</x:v>
      </x:c>
      <x:c r="H53" s="28" t="str"/>
      <x:c r="I53" s="339"/>
      <x:c r="J53" s="339"/>
      <x:c r="K53" s="339"/>
      <x:c r="L53" s="339"/>
      <x:c r="M53" s="339"/>
      <x:c r="N53" s="339"/>
      <x:c r="O53" s="339"/>
      <x:c r="P53" s="339"/>
      <x:c r="Q53" s="339"/>
      <x:c r="R53" s="339"/>
      <x:c r="S53" s="339"/>
      <x:c r="T53" s="339"/>
      <x:c r="U53" s="339"/>
      <x:c r="V53" s="339"/>
      <x:c r="W53" s="339"/>
      <x:c r="X53" s="339"/>
      <x:c r="Y53" s="339"/>
      <x:c r="Z53" s="339"/>
    </x:row>
    <x:row r="54">
      <x:c r="A54" s="28" t="str">
        <x:v>Domestic skills for infrastructure pipeline</x:v>
      </x:c>
      <x:c r="B54" s="28" t="str">
        <x:v>Strategic labour-supply benefit</x:v>
      </x:c>
      <x:c r="C54" s="28" t="str">
        <x:v>Not monetised here</x:v>
      </x:c>
      <x:c r="D54" s="28" t="str">
        <x:v>S01;S23</x:v>
      </x:c>
      <x:c r="E54" s="28" t="str">
        <x:v>Qualitative</x:v>
      </x:c>
      <x:c r="F54" s="28" t="str">
        <x:v>Excluded</x:v>
      </x:c>
      <x:c r="G54" s="28" t="str">
        <x:v>Requires occupation-specific transition evidence and infrastructure workforce modelling.</x:v>
      </x:c>
      <x:c r="H54" s="28" t="str"/>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339"/>
      <x:c r="V56" s="339"/>
      <x:c r="W56" s="339"/>
      <x:c r="X56" s="339"/>
      <x:c r="Y56" s="339"/>
      <x:c r="Z56" s="339"/>
    </x:row>
    <x:row r="57" ht="22" customHeight="1">
      <x:c r="A57" s="506" t="str">
        <x:v>Student, Crown and social outcomes — separate perspectives</x:v>
      </x:c>
      <x:c r="B57" s="506" t="str">
        <x:v>Student, Crown and social outcomes — separate perspectives</x:v>
      </x:c>
      <x:c r="C57" s="506" t="str">
        <x:v>Student, Crown and social outcomes — separate perspectives</x:v>
      </x:c>
      <x:c r="D57" s="506" t="str">
        <x:v>Student, Crown and social outcomes — separate perspectives</x:v>
      </x:c>
      <x:c r="E57" s="506" t="str">
        <x:v>Student, Crown and social outcomes — separate perspectives</x:v>
      </x:c>
      <x:c r="F57" s="506" t="str">
        <x:v>Student, Crown and social outcomes — separate perspectives</x:v>
      </x:c>
      <x:c r="G57" s="506" t="str">
        <x:v>Student, Crown and social outcomes — separate perspectives</x:v>
      </x:c>
      <x:c r="H57" s="506" t="str">
        <x:v>Student, Crown and social outcomes — separate perspectives</x:v>
      </x:c>
      <x:c r="I57" s="339"/>
      <x:c r="J57" s="339"/>
      <x:c r="K57" s="339"/>
      <x:c r="L57" s="339"/>
      <x:c r="M57" s="339"/>
      <x:c r="N57" s="339"/>
      <x:c r="O57" s="339"/>
      <x:c r="P57" s="339"/>
      <x:c r="Q57" s="339"/>
      <x:c r="R57" s="339"/>
      <x:c r="S57" s="339"/>
      <x:c r="T57" s="339"/>
      <x:c r="U57" s="339"/>
      <x:c r="V57" s="339"/>
      <x:c r="W57" s="339"/>
      <x:c r="X57" s="339"/>
      <x:c r="Y57" s="339"/>
      <x:c r="Z57" s="339"/>
    </x:row>
    <x:row r="58" ht="28" customHeight="1">
      <x:c r="A58" s="527" t="str">
        <x:v>Outcome measure</x:v>
      </x:c>
      <x:c r="B58" s="527" t="str">
        <x:v>Pilot central</x:v>
      </x:c>
      <x:c r="C58" s="527" t="str">
        <x:v>National central</x:v>
      </x:c>
      <x:c r="D58" s="527" t="str">
        <x:v>Unit</x:v>
      </x:c>
      <x:c r="E58" s="527" t="str">
        <x:v>Evidence basis</x:v>
      </x:c>
      <x:c r="F58" s="527" t="str">
        <x:v>Overlap treatment</x:v>
      </x:c>
      <x:c r="G58" s="527" t="str">
        <x:v>Included in which view?</x:v>
      </x:c>
      <x:c r="H58" s="527" t="str">
        <x:v>Interpretation</x:v>
      </x:c>
      <x:c r="I58" s="339"/>
      <x:c r="J58" s="339"/>
      <x:c r="K58" s="339"/>
      <x:c r="L58" s="339"/>
      <x:c r="M58" s="339"/>
      <x:c r="N58" s="339"/>
      <x:c r="O58" s="339"/>
      <x:c r="P58" s="339"/>
      <x:c r="Q58" s="339"/>
      <x:c r="R58" s="339"/>
      <x:c r="S58" s="339"/>
      <x:c r="T58" s="339"/>
      <x:c r="U58" s="339"/>
      <x:c r="V58" s="339"/>
      <x:c r="W58" s="339"/>
      <x:c r="X58" s="339"/>
      <x:c r="Y58" s="339"/>
      <x:c r="Z58" s="339"/>
    </x:row>
    <x:row r="59">
      <x:c r="A59" s="339" t="str">
        <x:v>Student: participation payments per participant over the modelled stage</x:v>
      </x:c>
      <x:c r="B59" s="459" t="n">
        <x:f>'Stage 1 - Pilot'!$L$16/Assumptions!$E$17</x:f>
        <x:v>11400</x:v>
      </x:c>
      <x:c r="C59" s="459" t="n">
        <x:f>'Learning Capital &amp; ROI'!$C$21</x:f>
        <x:v>19500</x:v>
      </x:c>
      <x:c r="D59" s="339" t="str">
        <x:v>NZD</x:v>
      </x:c>
      <x:c r="E59" s="339" t="str">
        <x:v>Programme formula</x:v>
      </x:c>
      <x:c r="F59" s="339" t="str">
        <x:v>Not a social benefit by itself</x:v>
      </x:c>
      <x:c r="G59" s="339" t="str">
        <x:v>Student outcome</x:v>
      </x:c>
      <x:c r="H59" s="339" t="str">
        <x:v>Includes immediate access and protected education capital.</x:v>
      </x:c>
      <x:c r="I59" s="339"/>
      <x:c r="J59" s="339"/>
      <x:c r="K59" s="339"/>
      <x:c r="L59" s="339"/>
      <x:c r="M59" s="339"/>
      <x:c r="N59" s="339"/>
      <x:c r="O59" s="339"/>
      <x:c r="P59" s="339"/>
      <x:c r="Q59" s="339"/>
      <x:c r="R59" s="339"/>
      <x:c r="S59" s="339"/>
      <x:c r="T59" s="339"/>
      <x:c r="U59" s="339"/>
      <x:c r="V59" s="339"/>
      <x:c r="W59" s="339"/>
      <x:c r="X59" s="339"/>
      <x:c r="Y59" s="339"/>
      <x:c r="Z59" s="339"/>
    </x:row>
    <x:row r="60">
      <x:c r="A60" s="339" t="str">
        <x:v>Student: closing nominal Learning Capital balance</x:v>
      </x:c>
      <x:c r="B60" s="459" t="n">
        <x:f>'Learning Capital &amp; ROI'!$H$44</x:f>
        <x:v>6233.710032311768</x:v>
      </x:c>
      <x:c r="C60" s="459" t="n">
        <x:f>'Learning Capital &amp; ROI'!$C$26</x:f>
        <x:v>10681.574885879425</x:v>
      </x:c>
      <x:c r="D60" s="339" t="str">
        <x:v>NZD/person</x:v>
      </x:c>
      <x:c r="E60" s="339" t="str">
        <x:v>Investment scenario</x:v>
      </x:c>
      <x:c r="F60" s="339" t="str">
        <x:v>Alternative view of the same protected asset</x:v>
      </x:c>
      <x:c r="G60" s="339" t="str">
        <x:v>Student outcome</x:v>
      </x:c>
      <x:c r="H60" s="339" t="str">
        <x:v>Returns are uncertain.</x:v>
      </x:c>
      <x:c r="I60" s="339"/>
      <x:c r="J60" s="339"/>
      <x:c r="K60" s="339"/>
      <x:c r="L60" s="339"/>
      <x:c r="M60" s="339"/>
      <x:c r="N60" s="339"/>
      <x:c r="O60" s="339"/>
      <x:c r="P60" s="339"/>
      <x:c r="Q60" s="339"/>
      <x:c r="R60" s="339"/>
      <x:c r="S60" s="339"/>
      <x:c r="T60" s="339"/>
      <x:c r="U60" s="339"/>
      <x:c r="V60" s="339"/>
      <x:c r="W60" s="339"/>
      <x:c r="X60" s="339"/>
      <x:c r="Y60" s="339"/>
      <x:c r="Z60" s="339"/>
    </x:row>
    <x:row r="61">
      <x:c r="A61" s="339" t="str">
        <x:v>Student: potential student-loan principal displaced</x:v>
      </x:c>
      <x:c r="B61" s="459" t="n">
        <x:f>(MIN('Learning Capital &amp; ROI'!$H$44,Assumptions!$E$64)*(Assumptions!$E$70+Assumptions!$E$71)*Assumptions!$E$72)*Assumptions!$E$73*Assumptions!$E$74</x:f>
        <x:v>1603.8089171131717</x:v>
      </x:c>
      <x:c r="C61" s="459" t="n">
        <x:f>'Learning Capital &amp; ROI'!$C$104</x:f>
        <x:v>2748.155586639059</x:v>
      </x:c>
      <x:c r="D61" s="339" t="str">
        <x:v>NZD/person</x:v>
      </x:c>
      <x:c r="E61" s="339" t="str">
        <x:v>Counterfactual scenario</x:v>
      </x:c>
      <x:c r="F61" s="339" t="str">
        <x:v>Do not add to the account balance</x:v>
      </x:c>
      <x:c r="G61" s="339" t="str">
        <x:v>Student outcome</x:v>
      </x:c>
      <x:c r="H61" s="339" t="str">
        <x:v>Expected borrowing replacement, not guaranteed debt elimination.</x:v>
      </x:c>
      <x:c r="I61" s="339"/>
      <x:c r="J61" s="339"/>
      <x:c r="K61" s="339"/>
      <x:c r="L61" s="339"/>
      <x:c r="M61" s="339"/>
      <x:c r="N61" s="339"/>
      <x:c r="O61" s="339"/>
      <x:c r="P61" s="339"/>
      <x:c r="Q61" s="339"/>
      <x:c r="R61" s="339"/>
      <x:c r="S61" s="339"/>
      <x:c r="T61" s="339"/>
      <x:c r="U61" s="339"/>
      <x:c r="V61" s="339"/>
      <x:c r="W61" s="339"/>
      <x:c r="X61" s="339"/>
      <x:c r="Y61" s="339"/>
      <x:c r="Z61" s="339"/>
    </x:row>
    <x:row r="62">
      <x:c r="A62" s="339" t="str">
        <x:v>Student: real closing Learning Capital balance</x:v>
      </x:c>
      <x:c r="B62" s="459" t="n">
        <x:f>'Learning Capital &amp; ROI'!$H$44/((1+Assumptions!$E$94)*(1+Assumptions!$E$95)*(1+Assumptions!$E$96))</x:f>
        <x:v>5807.907587965269</x:v>
      </x:c>
      <x:c r="C62" s="459" t="n">
        <x:f>'Learning Capital &amp; ROI'!$C$29</x:f>
        <x:v>9559.88837804382</x:v>
      </x:c>
      <x:c r="D62" s="339" t="str">
        <x:v>NZD 2026</x:v>
      </x:c>
      <x:c r="E62" s="339" t="str">
        <x:v>Treasury CPI curve</x:v>
      </x:c>
      <x:c r="F62" s="339" t="str">
        <x:v>Alternative purchasing-power view</x:v>
      </x:c>
      <x:c r="G62" s="339" t="str">
        <x:v>Student outcome</x:v>
      </x:c>
      <x:c r="H62" s="339" t="str">
        <x:v>Inflation-adjusted participant asset.</x:v>
      </x:c>
      <x:c r="I62" s="339"/>
      <x:c r="J62" s="339"/>
      <x:c r="K62" s="339"/>
      <x:c r="L62" s="339"/>
      <x:c r="M62" s="339"/>
      <x:c r="N62" s="339"/>
      <x:c r="O62" s="339"/>
      <x:c r="P62" s="339"/>
      <x:c r="Q62" s="339"/>
      <x:c r="R62" s="339"/>
      <x:c r="S62" s="339"/>
      <x:c r="T62" s="339"/>
      <x:c r="U62" s="339"/>
      <x:c r="V62" s="339"/>
      <x:c r="W62" s="339"/>
      <x:c r="X62" s="339"/>
      <x:c r="Y62" s="339"/>
      <x:c r="Z62" s="339"/>
    </x:row>
    <x:row r="63">
      <x:c r="A63" s="339" t="str">
        <x:v>Crown: gross official fair-value cost avoided</x:v>
      </x:c>
      <x:c r="B63" s="459" t="n">
        <x:f>(((MIN('Learning Capital &amp; ROI'!$H$44,Assumptions!$E$64)*(Assumptions!$E$70+Assumptions!$E$71)*Assumptions!$E$72)*Assumptions!$E$73*Assumptions!$E$74)*Assumptions!$E$80)*Assumptions!$E$17</x:f>
        <x:v>2306405.52752211</x:v>
      </x:c>
      <x:c r="C63" s="459" t="n">
        <x:f>'Learning Capital &amp; ROI'!$C$105*(Assumptions!$E$32/Assumptions!$E$33)</x:f>
        <x:v>58668066.92728407</x:v>
      </x:c>
      <x:c r="D63" s="339" t="str">
        <x:v>NZD/cohort</x:v>
      </x:c>
      <x:c r="E63" s="339" t="str">
        <x:v>Official rate × displaced lending</x:v>
      </x:c>
      <x:c r="F63" s="339" t="str">
        <x:v>Additive only once</x:v>
      </x:c>
      <x:c r="G63" s="339" t="str">
        <x:v>Crown fiscal outcome</x:v>
      </x:c>
      <x:c r="H63" s="339" t="str">
        <x:v>Central origination measure.</x:v>
      </x:c>
      <x:c r="I63" s="339"/>
      <x:c r="J63" s="339"/>
      <x:c r="K63" s="339"/>
      <x:c r="L63" s="339"/>
      <x:c r="M63" s="339"/>
      <x:c r="N63" s="339"/>
      <x:c r="O63" s="339"/>
      <x:c r="P63" s="339"/>
      <x:c r="Q63" s="339"/>
      <x:c r="R63" s="339"/>
      <x:c r="S63" s="339"/>
      <x:c r="T63" s="339"/>
      <x:c r="U63" s="339"/>
      <x:c r="V63" s="339"/>
      <x:c r="W63" s="339"/>
      <x:c r="X63" s="339"/>
      <x:c r="Y63" s="339"/>
      <x:c r="Z63" s="339"/>
    </x:row>
    <x:row r="64">
      <x:c r="A64" s="617" t="str">
        <x:v>Crown: net Learning Capital fiscal offset</x:v>
      </x:c>
      <x:c r="B64" s="618" t="n">
        <x:f>((((MIN('Learning Capital &amp; ROI'!$H$44,Assumptions!$E$64)*(Assumptions!$E$70+Assumptions!$E$71)*Assumptions!$E$72)*Assumptions!$E$73*Assumptions!$E$74)*Assumptions!$E$80)-(Assumptions!$E$63*3)-((Assumptions!$E$70+Assumptions!$E$71)*Assumptions!$E$76*Assumptions!$E$89))*Assumptions!$E$17</x:f>
        <x:v>-259794.47247789</x:v>
      </x:c>
      <x:c r="C64" s="618" t="n">
        <x:f>'Cohort Bridge'!$D$30</x:f>
        <x:v>5827697.152598478</x:v>
      </x:c>
      <x:c r="D64" s="617" t="str">
        <x:v>NZD/cohort</x:v>
      </x:c>
      <x:c r="E64" s="617" t="str">
        <x:v>Scenario after administration and induced-study cost</x:v>
      </x:c>
      <x:c r="F64" s="617" t="str">
        <x:v>Additive only once</x:v>
      </x:c>
      <x:c r="G64" s="617" t="str">
        <x:v>Crown fiscal outcome</x:v>
      </x:c>
      <x:c r="H64" s="617" t="str">
        <x:v>The fiscal effect arises after approved withdrawals and is not netted against programme-payment cash expenditure.</x:v>
      </x:c>
      <x:c r="I64" s="339"/>
      <x:c r="J64" s="339"/>
      <x:c r="K64" s="339"/>
      <x:c r="L64" s="339"/>
      <x:c r="M64" s="339"/>
      <x:c r="N64" s="339"/>
      <x:c r="O64" s="339"/>
      <x:c r="P64" s="339"/>
      <x:c r="Q64" s="339"/>
      <x:c r="R64" s="339"/>
      <x:c r="S64" s="339"/>
      <x:c r="T64" s="339"/>
      <x:c r="U64" s="339"/>
      <x:c r="V64" s="339"/>
      <x:c r="W64" s="339"/>
      <x:c r="X64" s="339"/>
      <x:c r="Y64" s="339"/>
      <x:c r="Z64" s="339"/>
    </x:row>
    <x:row r="65">
      <x:c r="A65" s="339" t="str">
        <x:v>Evidence-based social BCR</x:v>
      </x:c>
      <x:c r="B65" s="616" t="n">
        <x:f>B27</x:f>
        <x:v>0.04563906962418385</x:v>
      </x:c>
      <x:c r="C65" s="616" t="n">
        <x:f>C27</x:f>
        <x:v>0.025991563264118223</x:v>
      </x:c>
      <x:c r="D65" s="339" t="str">
        <x:v>x</x:v>
      </x:c>
      <x:c r="E65" s="339" t="str">
        <x:v>NZ short-term Pacheco–Dye value</x:v>
      </x:c>
      <x:c r="F65" s="339" t="str">
        <x:v>Excludes unproven whole-cohort effects</x:v>
      </x:c>
      <x:c r="G65" s="339" t="str">
        <x:v>Social outcome</x:v>
      </x:c>
      <x:c r="H65" s="339" t="str">
        <x:v>Conservative evidence case.</x:v>
      </x:c>
      <x:c r="I65" s="339"/>
      <x:c r="J65" s="339"/>
      <x:c r="K65" s="339"/>
      <x:c r="L65" s="339"/>
      <x:c r="M65" s="339"/>
      <x:c r="N65" s="339"/>
      <x:c r="O65" s="339"/>
      <x:c r="P65" s="339"/>
      <x:c r="Q65" s="339"/>
      <x:c r="R65" s="339"/>
      <x:c r="S65" s="339"/>
      <x:c r="T65" s="339"/>
      <x:c r="U65" s="339"/>
      <x:c r="V65" s="339"/>
      <x:c r="W65" s="339"/>
      <x:c r="X65" s="339"/>
      <x:c r="Y65" s="339"/>
      <x:c r="Z65" s="339"/>
    </x:row>
    <x:row r="66">
      <x:c r="A66" s="339" t="str">
        <x:v>Illustrative lifetime social BCR</x:v>
      </x:c>
      <x:c r="B66" s="616" t="n">
        <x:f>B29</x:f>
        <x:v>0.4381350683921649</x:v>
      </x:c>
      <x:c r="C66" s="616" t="n">
        <x:f>C29</x:f>
        <x:v>0.24951900733553492</x:v>
      </x:c>
      <x:c r="D66" s="339" t="str">
        <x:v>x</x:v>
      </x:c>
      <x:c r="E66" s="339" t="str">
        <x:v>UK-derived multiplier sensitivity</x:v>
      </x:c>
      <x:c r="F66" s="339" t="str">
        <x:v>Low-confidence sensitivity</x:v>
      </x:c>
      <x:c r="G66" s="339" t="str">
        <x:v>Social outcome</x:v>
      </x:c>
      <x:c r="H66" s="339" t="str">
        <x:v>Not a forecast.</x:v>
      </x:c>
      <x:c r="I66" s="339"/>
      <x:c r="J66" s="339"/>
      <x:c r="K66" s="339"/>
      <x:c r="L66" s="339"/>
      <x:c r="M66" s="339"/>
      <x:c r="N66" s="339"/>
      <x:c r="O66" s="339"/>
      <x:c r="P66" s="339"/>
      <x:c r="Q66" s="339"/>
      <x:c r="R66" s="339"/>
      <x:c r="S66" s="339"/>
      <x:c r="T66" s="339"/>
      <x:c r="U66" s="339"/>
      <x:c r="V66" s="339"/>
      <x:c r="W66" s="339"/>
      <x:c r="X66" s="339"/>
      <x:c r="Y66" s="339"/>
      <x:c r="Z66" s="339"/>
    </x:row>
    <x:row r="67">
      <x:c r="A67" s="619" t="str">
        <x:v>Expanded social-investment sensitivity</x:v>
      </x:c>
      <x:c r="B67" s="620" t="n">
        <x:f>(B24+B64)/B26</x:f>
        <x:v>0.43547269340089</x:v>
      </x:c>
      <x:c r="C67" s="620" t="n">
        <x:f>(C24+C64)/C26</x:f>
        <x:v>0.25333759922376436</x:v>
      </x:c>
      <x:c r="D67" s="619" t="str">
        <x:v>x</x:v>
      </x:c>
      <x:c r="E67" s="619" t="str">
        <x:v>Lifetime sensitivity + net Learning Capital fiscal offset</x:v>
      </x:c>
      <x:c r="F67" s="619" t="str">
        <x:v>Controls overlap</x:v>
      </x:c>
      <x:c r="G67" s="619" t="str">
        <x:v>Social sensitivity</x:v>
      </x:c>
      <x:c r="H67" s="619" t="str">
        <x:v>Excludes justice and unproven earnings uplift.</x:v>
      </x:c>
      <x:c r="I67" s="339"/>
      <x:c r="J67" s="339"/>
      <x:c r="K67" s="339"/>
      <x:c r="L67" s="339"/>
      <x:c r="M67" s="339"/>
      <x:c r="N67" s="339"/>
      <x:c r="O67" s="339"/>
      <x:c r="P67" s="339"/>
      <x:c r="Q67" s="339"/>
      <x:c r="R67" s="339"/>
      <x:c r="S67" s="339"/>
      <x:c r="T67" s="339"/>
      <x:c r="U67" s="339"/>
      <x:c r="V67" s="339"/>
      <x:c r="W67" s="339"/>
      <x:c r="X67" s="339"/>
      <x:c r="Y67" s="339"/>
      <x:c r="Z67" s="339"/>
    </x:row>
    <x:row r="68">
      <x:c r="A68" s="619" t="str">
        <x:v>Justice sensitivity — 1% prisoner-year case</x:v>
      </x:c>
      <x:c r="B68" s="621" t="n">
        <x:f>'Justice Sensitivity'!$G$7*(Assumptions!$E$17/(Assumptions!$E$32/Assumptions!$E$33))</x:f>
        <x:v>199725.75</x:v>
      </x:c>
      <x:c r="C68" s="621" t="n">
        <x:f>'Justice Sensitivity'!$G$7</x:f>
        <x:v>2964909.73725</x:v>
      </x:c>
      <x:c r="D68" s="619" t="str">
        <x:v>NZD</x:v>
      </x:c>
      <x:c r="E68" s="619" t="str">
        <x:v>Illustrative only</x:v>
      </x:c>
      <x:c r="F68" s="619" t="str">
        <x:v>Separate, non-cashable sensitivity</x:v>
      </x:c>
      <x:c r="G68" s="619" t="str">
        <x:v>Justice sensitivity</x:v>
      </x:c>
      <x:c r="H68" s="619" t="str">
        <x:v>Not included in headline BCR.</x:v>
      </x:c>
      <x:c r="I68" s="339"/>
      <x:c r="J68" s="339"/>
      <x:c r="K68" s="339"/>
      <x:c r="L68" s="339"/>
      <x:c r="M68" s="339"/>
      <x:c r="N68" s="339"/>
      <x:c r="O68" s="339"/>
      <x:c r="P68" s="339"/>
      <x:c r="Q68" s="339"/>
      <x:c r="R68" s="339"/>
      <x:c r="S68" s="339"/>
      <x:c r="T68" s="339"/>
      <x:c r="U68" s="339"/>
      <x:c r="V68" s="339"/>
      <x:c r="W68" s="339"/>
      <x:c r="X68" s="339"/>
      <x:c r="Y68" s="339"/>
      <x:c r="Z68" s="339"/>
    </x:row>
    <x:row r="69">
      <x:c r="A69" s="619" t="str">
        <x:v>Expanded sensitivity incl. 1% justice</x:v>
      </x:c>
      <x:c r="B69" s="620" t="n">
        <x:f>(B24+B64+B68)/B26</x:f>
        <x:v>0.43751948383812256</x:v>
      </x:c>
      <x:c r="C69" s="620" t="n">
        <x:f>(C24+C64+C68)/C26</x:f>
        <x:v>0.2552803529351419</x:v>
      </x:c>
      <x:c r="D69" s="619" t="str">
        <x:v>x</x:v>
      </x:c>
      <x:c r="E69" s="619" t="str">
        <x:v>Expanded sensitivity + justice resource value</x:v>
      </x:c>
      <x:c r="F69" s="619" t="str">
        <x:v>Illustrative only</x:v>
      </x:c>
      <x:c r="G69" s="619" t="str">
        <x:v>Social sensitivity</x:v>
      </x:c>
      <x:c r="H69" s="619" t="str">
        <x:v>Still not an evidence-based forecast.</x:v>
      </x:c>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ht="22" customHeight="1">
      <x:c r="A71" s="506" t="str">
        <x:v>Benefit overlap matrix</x:v>
      </x:c>
      <x:c r="B71" s="506" t="str">
        <x:v>Benefit overlap matrix</x:v>
      </x:c>
      <x:c r="C71" s="506" t="str">
        <x:v>Benefit overlap matrix</x:v>
      </x:c>
      <x:c r="D71" s="506" t="str">
        <x:v>Benefit overlap matrix</x:v>
      </x:c>
      <x:c r="E71" s="506" t="str">
        <x:v>Benefit overlap matrix</x:v>
      </x:c>
      <x:c r="F71" s="506" t="str">
        <x:v>Benefit overlap matrix</x:v>
      </x:c>
      <x:c r="G71" s="506" t="str">
        <x:v>Benefit overlap matrix</x:v>
      </x:c>
      <x:c r="H71" s="506" t="str">
        <x:v>Benefit overlap matrix</x:v>
      </x:c>
      <x:c r="I71" s="339"/>
      <x:c r="J71" s="339"/>
      <x:c r="K71" s="339"/>
      <x:c r="L71" s="339"/>
      <x:c r="M71" s="339"/>
      <x:c r="N71" s="339"/>
      <x:c r="O71" s="339"/>
      <x:c r="P71" s="339"/>
      <x:c r="Q71" s="339"/>
      <x:c r="R71" s="339"/>
      <x:c r="S71" s="339"/>
      <x:c r="T71" s="339"/>
      <x:c r="U71" s="339"/>
      <x:c r="V71" s="339"/>
      <x:c r="W71" s="339"/>
      <x:c r="X71" s="339"/>
      <x:c r="Y71" s="339"/>
      <x:c r="Z71" s="339"/>
    </x:row>
    <x:row r="72" ht="28" customHeight="1">
      <x:c r="A72" s="527" t="str">
        <x:v>Benefit or value</x:v>
      </x:c>
      <x:c r="B72" s="527" t="str">
        <x:v>Student view</x:v>
      </x:c>
      <x:c r="C72" s="527" t="str">
        <x:v>Crown view</x:v>
      </x:c>
      <x:c r="D72" s="527" t="str">
        <x:v>Social view</x:v>
      </x:c>
      <x:c r="E72" s="527" t="str">
        <x:v>Overlap classification</x:v>
      </x:c>
      <x:c r="F72" s="527" t="str">
        <x:v>Central treatment</x:v>
      </x:c>
      <x:c r="G72" s="527" t="str">
        <x:v>Evidence requirement</x:v>
      </x:c>
      <x:c r="H72" s="527" t="str">
        <x:v>Reason</x:v>
      </x:c>
      <x:c r="I72" s="339"/>
      <x:c r="J72" s="339"/>
      <x:c r="K72" s="339"/>
      <x:c r="L72" s="339"/>
      <x:c r="M72" s="339"/>
      <x:c r="N72" s="339"/>
      <x:c r="O72" s="339"/>
      <x:c r="P72" s="339"/>
      <x:c r="Q72" s="339"/>
      <x:c r="R72" s="339"/>
      <x:c r="S72" s="339"/>
      <x:c r="T72" s="339"/>
      <x:c r="U72" s="339"/>
      <x:c r="V72" s="339"/>
      <x:c r="W72" s="339"/>
      <x:c r="X72" s="339"/>
      <x:c r="Y72" s="339"/>
      <x:c r="Z72" s="339"/>
    </x:row>
    <x:row r="73">
      <x:c r="A73" s="496" t="str">
        <x:v>Learning Capital closing balance</x:v>
      </x:c>
      <x:c r="B73" s="496" t="str">
        <x:v>Yes</x:v>
      </x:c>
      <x:c r="C73" s="496" t="str">
        <x:v>No</x:v>
      </x:c>
      <x:c r="D73" s="496" t="str">
        <x:v>Not as principal</x:v>
      </x:c>
      <x:c r="E73" s="496" t="str">
        <x:v>Alternative perspective</x:v>
      </x:c>
      <x:c r="F73" s="496" t="str">
        <x:v>Student outcome only</x:v>
      </x:c>
      <x:c r="G73" s="496" t="str">
        <x:v>Provider statements</x:v>
      </x:c>
      <x:c r="H73" s="496" t="str">
        <x:v>Same protected asset later used for approved costs.</x:v>
      </x:c>
      <x:c r="I73" s="339"/>
      <x:c r="J73" s="339"/>
      <x:c r="K73" s="339"/>
      <x:c r="L73" s="339"/>
      <x:c r="M73" s="339"/>
      <x:c r="N73" s="339"/>
      <x:c r="O73" s="339"/>
      <x:c r="P73" s="339"/>
      <x:c r="Q73" s="339"/>
      <x:c r="R73" s="339"/>
      <x:c r="S73" s="339"/>
      <x:c r="T73" s="339"/>
      <x:c r="U73" s="339"/>
      <x:c r="V73" s="339"/>
      <x:c r="W73" s="339"/>
      <x:c r="X73" s="339"/>
      <x:c r="Y73" s="339"/>
      <x:c r="Z73" s="339"/>
    </x:row>
    <x:row r="74">
      <x:c r="A74" s="28" t="str">
        <x:v>Approved education costs paid</x:v>
      </x:c>
      <x:c r="B74" s="28" t="str">
        <x:v>Yes</x:v>
      </x:c>
      <x:c r="C74" s="28" t="str">
        <x:v>No</x:v>
      </x:c>
      <x:c r="D74" s="28" t="str">
        <x:v>Not as additional principal</x:v>
      </x:c>
      <x:c r="E74" s="28" t="str">
        <x:v>Alternative perspective</x:v>
      </x:c>
      <x:c r="F74" s="28" t="str">
        <x:v>Student outcome only</x:v>
      </x:c>
      <x:c r="G74" s="28" t="str">
        <x:v>Withdrawal records</x:v>
      </x:c>
      <x:c r="H74" s="28" t="str">
        <x:v>Use of the account balance.</x:v>
      </x:c>
      <x:c r="I74" s="339"/>
      <x:c r="J74" s="339"/>
      <x:c r="K74" s="339"/>
      <x:c r="L74" s="339"/>
      <x:c r="M74" s="339"/>
      <x:c r="N74" s="339"/>
      <x:c r="O74" s="339"/>
      <x:c r="P74" s="339"/>
      <x:c r="Q74" s="339"/>
      <x:c r="R74" s="339"/>
      <x:c r="S74" s="339"/>
      <x:c r="T74" s="339"/>
      <x:c r="U74" s="339"/>
      <x:c r="V74" s="339"/>
      <x:c r="W74" s="339"/>
      <x:c r="X74" s="339"/>
      <x:c r="Y74" s="339"/>
      <x:c r="Z74" s="339"/>
    </x:row>
    <x:row r="75">
      <x:c r="A75" s="28" t="str">
        <x:v>Student debt avoided</x:v>
      </x:c>
      <x:c r="B75" s="28" t="str">
        <x:v>Yes</x:v>
      </x:c>
      <x:c r="C75" s="28" t="str">
        <x:v>No</x:v>
      </x:c>
      <x:c r="D75" s="28" t="str">
        <x:v>No separate social addition</x:v>
      </x:c>
      <x:c r="E75" s="28" t="str">
        <x:v>Alternative perspective</x:v>
      </x:c>
      <x:c r="F75" s="28" t="str">
        <x:v>Student outcome only</x:v>
      </x:c>
      <x:c r="G75" s="28" t="str">
        <x:v>Counterfactual borrowing</x:v>
      </x:c>
      <x:c r="H75" s="28" t="str">
        <x:v>Same resource replacing a liability.</x:v>
      </x:c>
      <x:c r="I75" s="339"/>
      <x:c r="J75" s="339"/>
      <x:c r="K75" s="339"/>
      <x:c r="L75" s="339"/>
      <x:c r="M75" s="339"/>
      <x:c r="N75" s="339"/>
      <x:c r="O75" s="339"/>
      <x:c r="P75" s="339"/>
      <x:c r="Q75" s="339"/>
      <x:c r="R75" s="339"/>
      <x:c r="S75" s="339"/>
      <x:c r="T75" s="339"/>
      <x:c r="U75" s="339"/>
      <x:c r="V75" s="339"/>
      <x:c r="W75" s="339"/>
      <x:c r="X75" s="339"/>
      <x:c r="Y75" s="339"/>
      <x:c r="Z75" s="339"/>
    </x:row>
    <x:row r="76">
      <x:c r="A76" s="28" t="str">
        <x:v>Gross Crown lending avoided</x:v>
      </x:c>
      <x:c r="B76" s="28" t="str">
        <x:v>No</x:v>
      </x:c>
      <x:c r="C76" s="28" t="str">
        <x:v>Gross cash-flow view</x:v>
      </x:c>
      <x:c r="D76" s="28" t="str">
        <x:v>No</x:v>
      </x:c>
      <x:c r="E76" s="28" t="str">
        <x:v>Partially overlapping</x:v>
      </x:c>
      <x:c r="F76" s="28" t="str">
        <x:v>Not treated as net saving</x:v>
      </x:c>
      <x:c r="G76" s="28" t="str">
        <x:v>StudyLink data</x:v>
      </x:c>
      <x:c r="H76" s="28" t="str">
        <x:v>Crown also forgoes repayments.</x:v>
      </x:c>
      <x:c r="I76" s="339"/>
      <x:c r="J76" s="339"/>
      <x:c r="K76" s="339"/>
      <x:c r="L76" s="339"/>
      <x:c r="M76" s="339"/>
      <x:c r="N76" s="339"/>
      <x:c r="O76" s="339"/>
      <x:c r="P76" s="339"/>
      <x:c r="Q76" s="339"/>
      <x:c r="R76" s="339"/>
      <x:c r="S76" s="339"/>
      <x:c r="T76" s="339"/>
      <x:c r="U76" s="339"/>
      <x:c r="V76" s="339"/>
      <x:c r="W76" s="339"/>
      <x:c r="X76" s="339"/>
      <x:c r="Y76" s="339"/>
      <x:c r="Z76" s="339"/>
    </x:row>
    <x:row r="77">
      <x:c r="A77" s="28" t="str">
        <x:v>Initial fair-value cost avoided</x:v>
      </x:c>
      <x:c r="B77" s="28" t="str">
        <x:v>No</x:v>
      </x:c>
      <x:c r="C77" s="28" t="str">
        <x:v>Yes</x:v>
      </x:c>
      <x:c r="D77" s="28" t="str">
        <x:v>Potential fiscal-efficiency component</x:v>
      </x:c>
      <x:c r="E77" s="28" t="str">
        <x:v>Independently additive once</x:v>
      </x:c>
      <x:c r="F77" s="28" t="str">
        <x:v>Central Crown measure</x:v>
      </x:c>
      <x:c r="G77" s="28" t="str">
        <x:v>Official actuarial method</x:v>
      </x:c>
      <x:c r="H77" s="28" t="str">
        <x:v>Expected lifetime cost avoided at origination.</x:v>
      </x:c>
      <x:c r="I77" s="339"/>
      <x:c r="J77" s="339"/>
      <x:c r="K77" s="339"/>
      <x:c r="L77" s="339"/>
      <x:c r="M77" s="339"/>
      <x:c r="N77" s="339"/>
      <x:c r="O77" s="339"/>
      <x:c r="P77" s="339"/>
      <x:c r="Q77" s="339"/>
      <x:c r="R77" s="339"/>
      <x:c r="S77" s="339"/>
      <x:c r="T77" s="339"/>
      <x:c r="U77" s="339"/>
      <x:c r="V77" s="339"/>
      <x:c r="W77" s="339"/>
      <x:c r="X77" s="339"/>
      <x:c r="Y77" s="339"/>
      <x:c r="Z77" s="339"/>
    </x:row>
    <x:row r="78">
      <x:c r="A78" s="28" t="str">
        <x:v>Cost of capital</x:v>
      </x:c>
      <x:c r="B78" s="28" t="str">
        <x:v>No</x:v>
      </x:c>
      <x:c r="C78" s="28" t="str">
        <x:v>Alternative view</x:v>
      </x:c>
      <x:c r="D78" s="28" t="str">
        <x:v>No separate addition</x:v>
      </x:c>
      <x:c r="E78" s="28" t="str">
        <x:v>Alternative perspective</x:v>
      </x:c>
      <x:c r="F78" s="28" t="str">
        <x:v>Disclosed only</x:v>
      </x:c>
      <x:c r="G78" s="28" t="str">
        <x:v>Official valuation</x:v>
      </x:c>
      <x:c r="H78" s="28" t="str">
        <x:v>Overlaps fair-value discounting.</x:v>
      </x:c>
      <x:c r="I78" s="339"/>
      <x:c r="J78" s="339"/>
      <x:c r="K78" s="339"/>
      <x:c r="L78" s="339"/>
      <x:c r="M78" s="339"/>
      <x:c r="N78" s="339"/>
      <x:c r="O78" s="339"/>
      <x:c r="P78" s="339"/>
      <x:c r="Q78" s="339"/>
      <x:c r="R78" s="339"/>
      <x:c r="S78" s="339"/>
      <x:c r="T78" s="339"/>
      <x:c r="U78" s="339"/>
      <x:c r="V78" s="339"/>
      <x:c r="W78" s="339"/>
      <x:c r="X78" s="339"/>
      <x:c r="Y78" s="339"/>
      <x:c r="Z78" s="339"/>
    </x:row>
    <x:row r="79">
      <x:c r="A79" s="28" t="str">
        <x:v>Inflation erosion</x:v>
      </x:c>
      <x:c r="B79" s="28" t="str">
        <x:v>Purchasing-power context</x:v>
      </x:c>
      <x:c r="C79" s="28" t="str">
        <x:v>Alternative view</x:v>
      </x:c>
      <x:c r="D79" s="28" t="str">
        <x:v>No separate addition</x:v>
      </x:c>
      <x:c r="E79" s="28" t="str">
        <x:v>Alternative perspective</x:v>
      </x:c>
      <x:c r="F79" s="28" t="str">
        <x:v>Disclosed only</x:v>
      </x:c>
      <x:c r="G79" s="28" t="str">
        <x:v>Treasury CPI curve</x:v>
      </x:c>
      <x:c r="H79" s="28" t="str">
        <x:v>Explains real-value loss but overlaps fair value.</x:v>
      </x:c>
      <x:c r="I79" s="339"/>
      <x:c r="J79" s="339"/>
      <x:c r="K79" s="339"/>
      <x:c r="L79" s="339"/>
      <x:c r="M79" s="339"/>
      <x:c r="N79" s="339"/>
      <x:c r="O79" s="339"/>
      <x:c r="P79" s="339"/>
      <x:c r="Q79" s="339"/>
      <x:c r="R79" s="339"/>
      <x:c r="S79" s="339"/>
      <x:c r="T79" s="339"/>
      <x:c r="U79" s="339"/>
      <x:c r="V79" s="339"/>
      <x:c r="W79" s="339"/>
      <x:c r="X79" s="339"/>
      <x:c r="Y79" s="339"/>
      <x:c r="Z79" s="339"/>
    </x:row>
    <x:row r="80">
      <x:c r="A80" s="28" t="str">
        <x:v>Investment earnings</x:v>
      </x:c>
      <x:c r="B80" s="28" t="str">
        <x:v>Yes</x:v>
      </x:c>
      <x:c r="C80" s="28" t="str">
        <x:v>No</x:v>
      </x:c>
      <x:c r="D80" s="28" t="str">
        <x:v>Not automatically free social value</x:v>
      </x:c>
      <x:c r="E80" s="28" t="str">
        <x:v>Partially overlapping</x:v>
      </x:c>
      <x:c r="F80" s="28" t="str">
        <x:v>Student outcome; excluded from social BCR</x:v>
      </x:c>
      <x:c r="G80" s="28" t="str">
        <x:v>Opportunity-cost analysis</x:v>
      </x:c>
      <x:c r="H80" s="28" t="str">
        <x:v>Public funds are committed to earn the return.</x:v>
      </x:c>
      <x:c r="I80" s="339"/>
      <x:c r="J80" s="339"/>
      <x:c r="K80" s="339"/>
      <x:c r="L80" s="339"/>
      <x:c r="M80" s="339"/>
      <x:c r="N80" s="339"/>
      <x:c r="O80" s="339"/>
      <x:c r="P80" s="339"/>
      <x:c r="Q80" s="339"/>
      <x:c r="R80" s="339"/>
      <x:c r="S80" s="339"/>
      <x:c r="T80" s="339"/>
      <x:c r="U80" s="339"/>
      <x:c r="V80" s="339"/>
      <x:c r="W80" s="339"/>
      <x:c r="X80" s="339"/>
      <x:c r="Y80" s="339"/>
      <x:c r="Z80" s="339"/>
    </x:row>
    <x:row r="81">
      <x:c r="A81" s="28" t="str">
        <x:v>Higher earnings</x:v>
      </x:c>
      <x:c r="B81" s="28" t="str">
        <x:v>Potential</x:v>
      </x:c>
      <x:c r="C81" s="28" t="str">
        <x:v>Tax effect possible</x:v>
      </x:c>
      <x:c r="D81" s="28" t="str">
        <x:v>Yes</x:v>
      </x:c>
      <x:c r="E81" s="28" t="str">
        <x:v>Partially overlapping</x:v>
      </x:c>
      <x:c r="F81" s="28" t="str">
        <x:v>Whole-cohort model excludes modelled averted sustained-NEET cases</x:v>
      </x:c>
      <x:c r="G81" s="28" t="str">
        <x:v>Pilot causal earnings evidence</x:v>
      </x:c>
      <x:c r="H81" s="28" t="str">
        <x:v>Qualification premiums are context only; the broad earnings stream is not stacked on Pacheco productivity.</x:v>
      </x:c>
      <x:c r="I81" s="339"/>
      <x:c r="J81" s="339"/>
      <x:c r="K81" s="339"/>
      <x:c r="L81" s="339"/>
      <x:c r="M81" s="339"/>
      <x:c r="N81" s="339"/>
      <x:c r="O81" s="339"/>
      <x:c r="P81" s="339"/>
      <x:c r="Q81" s="339"/>
      <x:c r="R81" s="339"/>
      <x:c r="S81" s="339"/>
      <x:c r="T81" s="339"/>
      <x:c r="U81" s="339"/>
      <x:c r="V81" s="339"/>
      <x:c r="W81" s="339"/>
      <x:c r="X81" s="339"/>
      <x:c r="Y81" s="339"/>
      <x:c r="Z81" s="339"/>
    </x:row>
    <x:row r="82">
      <x:c r="A82" s="28" t="str">
        <x:v>Increased tax</x:v>
      </x:c>
      <x:c r="B82" s="28" t="str">
        <x:v>No</x:v>
      </x:c>
      <x:c r="C82" s="28" t="str">
        <x:v>Potential</x:v>
      </x:c>
      <x:c r="D82" s="28" t="str">
        <x:v>Transfer within society</x:v>
      </x:c>
      <x:c r="E82" s="28" t="str">
        <x:v>Partially overlapping</x:v>
      </x:c>
      <x:c r="F82" s="28" t="str">
        <x:v>Crown fiscal view only</x:v>
      </x:c>
      <x:c r="G82" s="28" t="str">
        <x:v>Linked earnings and tax data</x:v>
      </x:c>
      <x:c r="H82" s="28" t="str">
        <x:v>Derived from incremental earnings through current tax and ACC rules; not added to social earnings.</x:v>
      </x:c>
      <x:c r="I82" s="339"/>
      <x:c r="J82" s="339"/>
      <x:c r="K82" s="339"/>
      <x:c r="L82" s="339"/>
      <x:c r="M82" s="339"/>
      <x:c r="N82" s="339"/>
      <x:c r="O82" s="339"/>
      <x:c r="P82" s="339"/>
      <x:c r="Q82" s="339"/>
      <x:c r="R82" s="339"/>
      <x:c r="S82" s="339"/>
      <x:c r="T82" s="339"/>
      <x:c r="U82" s="339"/>
      <x:c r="V82" s="339"/>
      <x:c r="W82" s="339"/>
      <x:c r="X82" s="339"/>
      <x:c r="Y82" s="339"/>
      <x:c r="Z82" s="339"/>
    </x:row>
    <x:row r="83">
      <x:c r="A83" s="28" t="str">
        <x:v>Reduced benefit reliance</x:v>
      </x:c>
      <x:c r="B83" s="28" t="str">
        <x:v>No</x:v>
      </x:c>
      <x:c r="C83" s="28" t="str">
        <x:v>Potential</x:v>
      </x:c>
      <x:c r="D83" s="28" t="str">
        <x:v>Potential</x:v>
      </x:c>
      <x:c r="E83" s="28" t="str">
        <x:v>Partially overlapping</x:v>
      </x:c>
      <x:c r="F83" s="28" t="str">
        <x:v>Broad non-NEET population only</x:v>
      </x:c>
      <x:c r="G83" s="28" t="str">
        <x:v>Linked benefit data</x:v>
      </x:c>
      <x:c r="H83" s="28" t="str">
        <x:v>Excludes modelled averted sustained-NEET cases and requires linked benefit evidence.</x:v>
      </x:c>
      <x:c r="I83" s="339"/>
      <x:c r="J83" s="339"/>
      <x:c r="K83" s="339"/>
      <x:c r="L83" s="339"/>
      <x:c r="M83" s="339"/>
      <x:c r="N83" s="339"/>
      <x:c r="O83" s="339"/>
      <x:c r="P83" s="339"/>
      <x:c r="Q83" s="339"/>
      <x:c r="R83" s="339"/>
      <x:c r="S83" s="339"/>
      <x:c r="T83" s="339"/>
      <x:c r="U83" s="339"/>
      <x:c r="V83" s="339"/>
      <x:c r="W83" s="339"/>
      <x:c r="X83" s="339"/>
      <x:c r="Y83" s="339"/>
      <x:c r="Z83" s="339"/>
    </x:row>
    <x:row r="84">
      <x:c r="A84" s="28" t="str">
        <x:v>Health and wellbeing</x:v>
      </x:c>
      <x:c r="B84" s="28" t="str">
        <x:v>Potential</x:v>
      </x:c>
      <x:c r="C84" s="28" t="str">
        <x:v>Potential service effect</x:v>
      </x:c>
      <x:c r="D84" s="28" t="str">
        <x:v>Yes</x:v>
      </x:c>
      <x:c r="E84" s="28" t="str">
        <x:v>Potentially additive</x:v>
      </x:c>
      <x:c r="F84" s="28" t="str">
        <x:v>Excluded pending causal evidence</x:v>
      </x:c>
      <x:c r="G84" s="28" t="str">
        <x:v>Causal health outcomes</x:v>
      </x:c>
      <x:c r="H84" s="28" t="str">
        <x:v>Health and service effects are potentially additional but no programme-specific causal effect is assumed.</x:v>
      </x:c>
      <x:c r="I84" s="339"/>
      <x:c r="J84" s="339"/>
      <x:c r="K84" s="339"/>
      <x:c r="L84" s="339"/>
      <x:c r="M84" s="339"/>
      <x:c r="N84" s="339"/>
      <x:c r="O84" s="339"/>
      <x:c r="P84" s="339"/>
      <x:c r="Q84" s="339"/>
      <x:c r="R84" s="339"/>
      <x:c r="S84" s="339"/>
      <x:c r="T84" s="339"/>
      <x:c r="U84" s="339"/>
      <x:c r="V84" s="339"/>
      <x:c r="W84" s="339"/>
      <x:c r="X84" s="339"/>
      <x:c r="Y84" s="339"/>
      <x:c r="Z84" s="339"/>
    </x:row>
    <x:row r="85">
      <x:c r="A85" s="28" t="str">
        <x:v>Unemployment distress</x:v>
      </x:c>
      <x:c r="B85" s="28" t="str">
        <x:v>Potential</x:v>
      </x:c>
      <x:c r="C85" s="28" t="str">
        <x:v>No</x:v>
      </x:c>
      <x:c r="D85" s="28" t="str">
        <x:v>Yes</x:v>
      </x:c>
      <x:c r="E85" s="28" t="str">
        <x:v>Partially overlapping</x:v>
      </x:c>
      <x:c r="F85" s="28" t="str">
        <x:v>Excluded pending causal evidence</x:v>
      </x:c>
      <x:c r="G85" s="28" t="str">
        <x:v>Duration and counterfactual</x:v>
      </x:c>
      <x:c r="H85" s="28" t="str">
        <x:v>Unemployment distress may overlap employment and earnings effects; duration and counterfactual evidence are required.</x:v>
      </x:c>
      <x:c r="I85" s="339"/>
      <x:c r="J85" s="339"/>
      <x:c r="K85" s="339"/>
      <x:c r="L85" s="339"/>
      <x:c r="M85" s="339"/>
      <x:c r="N85" s="339"/>
      <x:c r="O85" s="339"/>
      <x:c r="P85" s="339"/>
      <x:c r="Q85" s="339"/>
      <x:c r="R85" s="339"/>
      <x:c r="S85" s="339"/>
      <x:c r="T85" s="339"/>
      <x:c r="U85" s="339"/>
      <x:c r="V85" s="339"/>
      <x:c r="W85" s="339"/>
      <x:c r="X85" s="339"/>
      <x:c r="Y85" s="339"/>
      <x:c r="Z85" s="339"/>
    </x:row>
    <x:row r="86">
      <x:c r="A86" s="28" t="str">
        <x:v>Crime and victimisation</x:v>
      </x:c>
      <x:c r="B86" s="28" t="str">
        <x:v>Potential</x:v>
      </x:c>
      <x:c r="C86" s="28" t="str">
        <x:v>Potential</x:v>
      </x:c>
      <x:c r="D86" s="28" t="str">
        <x:v>Yes</x:v>
      </x:c>
      <x:c r="E86" s="28" t="str">
        <x:v>Partially overlapping</x:v>
      </x:c>
      <x:c r="F86" s="28" t="str">
        <x:v>Zero headline; framework only</x:v>
      </x:c>
      <x:c r="G86" s="28" t="str">
        <x:v>Offence mix and attribution</x:v>
      </x:c>
      <x:c r="H86" s="28" t="str">
        <x:v>Avoid overlap with prison and justice costs.</x:v>
      </x:c>
      <x:c r="I86" s="339"/>
      <x:c r="J86" s="339"/>
      <x:c r="K86" s="339"/>
      <x:c r="L86" s="339"/>
      <x:c r="M86" s="339"/>
      <x:c r="N86" s="339"/>
      <x:c r="O86" s="339"/>
      <x:c r="P86" s="339"/>
      <x:c r="Q86" s="339"/>
      <x:c r="R86" s="339"/>
      <x:c r="S86" s="339"/>
      <x:c r="T86" s="339"/>
      <x:c r="U86" s="339"/>
      <x:c r="V86" s="339"/>
      <x:c r="W86" s="339"/>
      <x:c r="X86" s="339"/>
      <x:c r="Y86" s="339"/>
      <x:c r="Z86" s="339"/>
    </x:row>
    <x:row r="87">
      <x:c r="A87" s="28" t="str">
        <x:v>Prison resource value</x:v>
      </x:c>
      <x:c r="B87" s="28" t="str">
        <x:v>No</x:v>
      </x:c>
      <x:c r="C87" s="28" t="str">
        <x:v>Potential resource value</x:v>
      </x:c>
      <x:c r="D87" s="28" t="str">
        <x:v>Potential</x:v>
      </x:c>
      <x:c r="E87" s="28" t="str">
        <x:v>Partially overlapping</x:v>
      </x:c>
      <x:c r="F87" s="28" t="str">
        <x:v>Separate sensitivity only</x:v>
      </x:c>
      <x:c r="G87" s="28" t="str">
        <x:v>Marginal cost and attribution</x:v>
      </x:c>
      <x:c r="H87" s="28" t="str">
        <x:v>Average cost is not necessarily cashable.</x:v>
      </x:c>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ht="23" customHeight="1">
      <x:c r="A90" s="905" t="str">
        <x:v>Whole-cohort earnings and break-even outputs</x:v>
      </x:c>
      <x:c r="B90" s="905"/>
      <x:c r="C90" s="905"/>
      <x:c r="D90" s="905"/>
      <x:c r="E90" s="905"/>
      <x:c r="F90" s="905"/>
      <x:c r="G90" s="905"/>
      <x:c r="H90" s="905"/>
      <x:c r="I90" s="339"/>
      <x:c r="J90" s="339"/>
      <x:c r="K90" s="339"/>
      <x:c r="L90" s="339"/>
      <x:c r="M90" s="339"/>
      <x:c r="N90" s="339"/>
      <x:c r="O90" s="339"/>
      <x:c r="P90" s="339"/>
      <x:c r="Q90" s="339"/>
      <x:c r="R90" s="339"/>
      <x:c r="S90" s="339"/>
      <x:c r="T90" s="339"/>
      <x:c r="U90" s="339"/>
      <x:c r="V90" s="339"/>
      <x:c r="W90" s="339"/>
      <x:c r="X90" s="339"/>
      <x:c r="Y90" s="339"/>
      <x:c r="Z90" s="339"/>
    </x:row>
    <x:row r="91" ht="30" customHeight="1">
      <x:c r="A91" s="909" t="str">
        <x:v>Metric</x:v>
      </x:c>
      <x:c r="B91" s="909" t="str">
        <x:v>Pilot / targeted</x:v>
      </x:c>
      <x:c r="C91" s="909" t="str">
        <x:v>National mature</x:v>
      </x:c>
      <x:c r="D91" s="909" t="str">
        <x:v>Unit</x:v>
      </x:c>
      <x:c r="E91" s="909" t="str">
        <x:v>Discount rate</x:v>
      </x:c>
      <x:c r="F91" s="909" t="str">
        <x:v>Evidence status</x:v>
      </x:c>
      <x:c r="G91" s="909" t="str">
        <x:v>Headline inclusion</x:v>
      </x:c>
      <x:c r="H91" s="909" t="str">
        <x:v>Interpretation</x:v>
      </x:c>
      <x:c r="I91" s="339"/>
      <x:c r="J91" s="339"/>
      <x:c r="K91" s="339"/>
      <x:c r="L91" s="339"/>
      <x:c r="M91" s="339"/>
      <x:c r="N91" s="339"/>
      <x:c r="O91" s="339"/>
      <x:c r="P91" s="339"/>
      <x:c r="Q91" s="339"/>
      <x:c r="R91" s="339"/>
      <x:c r="S91" s="339"/>
      <x:c r="T91" s="339"/>
      <x:c r="U91" s="339"/>
      <x:c r="V91" s="339"/>
      <x:c r="W91" s="339"/>
      <x:c r="X91" s="339"/>
      <x:c r="Y91" s="339"/>
      <x:c r="Z91" s="339"/>
    </x:row>
    <x:row r="92">
      <x:c r="A92" s="28" t="str">
        <x:v>Whole-cohort earnings PV — 0.5%</x:v>
      </x:c>
      <x:c r="B92" s="344" t="n">
        <x:f>'Human Capital &amp; Earnings'!$G$114*0.005/1%</x:f>
        <x:v>5328991.850515305</x:v>
      </x:c>
      <x:c r="C92" s="344" t="n">
        <x:f>'Human Capital &amp; Earnings'!$D$98</x:f>
        <x:v>66951028.594514556</x:v>
      </x:c>
      <x:c r="D92" s="28" t="str">
        <x:v>NZD PV</x:v>
      </x:c>
      <x:c r="E92" s="28" t="str">
        <x:v>4% intermediate sensitivity</x:v>
      </x:c>
      <x:c r="F92" s="28" t="str">
        <x:v>Scenario only</x:v>
      </x:c>
      <x:c r="G92" s="28" t="str">
        <x:v>Sensitivity</x:v>
      </x:c>
      <x:c r="H92" s="28" t="str">
        <x:v>Small broad uplift.</x:v>
      </x:c>
      <x:c r="I92" s="339"/>
      <x:c r="J92" s="339"/>
      <x:c r="K92" s="339"/>
      <x:c r="L92" s="339"/>
      <x:c r="M92" s="339"/>
      <x:c r="N92" s="339"/>
      <x:c r="O92" s="339"/>
      <x:c r="P92" s="339"/>
      <x:c r="Q92" s="339"/>
      <x:c r="R92" s="339"/>
      <x:c r="S92" s="339"/>
      <x:c r="T92" s="339"/>
      <x:c r="U92" s="339"/>
      <x:c r="V92" s="339"/>
      <x:c r="W92" s="339"/>
      <x:c r="X92" s="339"/>
      <x:c r="Y92" s="339"/>
      <x:c r="Z92" s="339"/>
    </x:row>
    <x:row r="93">
      <x:c r="A93" s="28" t="str">
        <x:v>Whole-cohort earnings PV — 1.0%</x:v>
      </x:c>
      <x:c r="B93" s="344" t="n">
        <x:f>'Human Capital &amp; Earnings'!$G$114*0.01/1%</x:f>
        <x:v>10657983.70103061</x:v>
      </x:c>
      <x:c r="C93" s="344" t="n">
        <x:f>'Human Capital &amp; Earnings'!$D$99</x:f>
        <x:v>133902057.18902911</x:v>
      </x:c>
      <x:c r="D93" s="28" t="str">
        <x:v>NZD PV</x:v>
      </x:c>
      <x:c r="E93" s="28" t="str">
        <x:v>4% intermediate sensitivity</x:v>
      </x:c>
      <x:c r="F93" s="28" t="str">
        <x:v>Scenario only</x:v>
      </x:c>
      <x:c r="G93" s="28" t="str">
        <x:v>Sensitivity</x:v>
      </x:c>
      <x:c r="H93" s="28" t="str">
        <x:v>Not a forecast.</x:v>
      </x:c>
      <x:c r="I93" s="339"/>
      <x:c r="J93" s="339"/>
      <x:c r="K93" s="339"/>
      <x:c r="L93" s="339"/>
      <x:c r="M93" s="339"/>
      <x:c r="N93" s="339"/>
      <x:c r="O93" s="339"/>
      <x:c r="P93" s="339"/>
      <x:c r="Q93" s="339"/>
      <x:c r="R93" s="339"/>
      <x:c r="S93" s="339"/>
      <x:c r="T93" s="339"/>
      <x:c r="U93" s="339"/>
      <x:c r="V93" s="339"/>
      <x:c r="W93" s="339"/>
      <x:c r="X93" s="339"/>
      <x:c r="Y93" s="339"/>
      <x:c r="Z93" s="339"/>
    </x:row>
    <x:row r="94">
      <x:c r="A94" s="28" t="str">
        <x:v>Whole-cohort earnings PV — 3.0%</x:v>
      </x:c>
      <x:c r="B94" s="344" t="n">
        <x:f>'Human Capital &amp; Earnings'!$G$114*0.03/1%</x:f>
        <x:v>31973951.10309183</x:v>
      </x:c>
      <x:c r="C94" s="344" t="n">
        <x:f>'Human Capital &amp; Earnings'!$D$101</x:f>
        <x:v>401706171.56708735</x:v>
      </x:c>
      <x:c r="D94" s="28" t="str">
        <x:v>NZD PV</x:v>
      </x:c>
      <x:c r="E94" s="28" t="str">
        <x:v>4% intermediate sensitivity</x:v>
      </x:c>
      <x:c r="F94" s="28" t="str">
        <x:v>Scenario only</x:v>
      </x:c>
      <x:c r="G94" s="28" t="str">
        <x:v>Sensitivity</x:v>
      </x:c>
      <x:c r="H94" s="28" t="str">
        <x:v>Requires causal persistence.</x:v>
      </x:c>
      <x:c r="I94" s="339"/>
      <x:c r="J94" s="339"/>
      <x:c r="K94" s="339"/>
      <x:c r="L94" s="339"/>
      <x:c r="M94" s="339"/>
      <x:c r="N94" s="339"/>
      <x:c r="O94" s="339"/>
      <x:c r="P94" s="339"/>
      <x:c r="Q94" s="339"/>
      <x:c r="R94" s="339"/>
      <x:c r="S94" s="339"/>
      <x:c r="T94" s="339"/>
      <x:c r="U94" s="339"/>
      <x:c r="V94" s="339"/>
      <x:c r="W94" s="339"/>
      <x:c r="X94" s="339"/>
      <x:c r="Y94" s="339"/>
      <x:c r="Z94" s="339"/>
    </x:row>
    <x:row r="95">
      <x:c r="A95" s="28" t="str">
        <x:v>Whole-cohort earnings PV — 5.0%</x:v>
      </x:c>
      <x:c r="B95" s="344" t="n">
        <x:f>'Human Capital &amp; Earnings'!$G$114*0.05/1%</x:f>
        <x:v>53289918.505153045</x:v>
      </x:c>
      <x:c r="C95" s="344" t="n">
        <x:f>'Human Capital &amp; Earnings'!$D$102</x:f>
        <x:v>669510285.9451456</x:v>
      </x:c>
      <x:c r="D95" s="28" t="str">
        <x:v>NZD PV</x:v>
      </x:c>
      <x:c r="E95" s="28" t="str">
        <x:v>4% intermediate sensitivity</x:v>
      </x:c>
      <x:c r="F95" s="28" t="str">
        <x:v>Scenario only</x:v>
      </x:c>
      <x:c r="G95" s="28" t="str">
        <x:v>Sensitivity</x:v>
      </x:c>
      <x:c r="H95" s="28" t="str">
        <x:v>Still subject to labour-market haircuts.</x:v>
      </x:c>
      <x:c r="I95" s="339"/>
      <x:c r="J95" s="339"/>
      <x:c r="K95" s="339"/>
      <x:c r="L95" s="339"/>
      <x:c r="M95" s="339"/>
      <x:c r="N95" s="339"/>
      <x:c r="O95" s="339"/>
      <x:c r="P95" s="339"/>
      <x:c r="Q95" s="339"/>
      <x:c r="R95" s="339"/>
      <x:c r="S95" s="339"/>
      <x:c r="T95" s="339"/>
      <x:c r="U95" s="339"/>
      <x:c r="V95" s="339"/>
      <x:c r="W95" s="339"/>
      <x:c r="X95" s="339"/>
      <x:c r="Y95" s="339"/>
      <x:c r="Z95" s="339"/>
    </x:row>
    <x:row r="96">
      <x:c r="A96" s="28" t="str">
        <x:v>National social BCR — 1.0% earnings uplift</x:v>
      </x:c>
      <x:c r="B96" s="478" t="n">
        <x:f>('Human Capital &amp; Earnings'!$D$114+'Human Capital &amp; Earnings'!$G$114*1)/'Human Capital &amp; Earnings'!$C$114</x:f>
        <x:v>0.5446957611297619</x:v>
      </x:c>
      <x:c r="C96" s="478" t="n">
        <x:f>'Human Capital &amp; Earnings'!$K$99</x:f>
        <x:v>0.3410767689181383</x:v>
      </x:c>
      <x:c r="D96" s="28" t="str">
        <x:v>x</x:v>
      </x:c>
      <x:c r="E96" s="28" t="str">
        <x:v>4% intermediate sensitivity</x:v>
      </x:c>
      <x:c r="F96" s="28" t="str">
        <x:v>Scenario only</x:v>
      </x:c>
      <x:c r="G96" s="28" t="str">
        <x:v>Sensitivity</x:v>
      </x:c>
      <x:c r="H96" s="28" t="str">
        <x:v>Includes NEET and Learning Capital, not justice.</x:v>
      </x:c>
      <x:c r="I96" s="339"/>
      <x:c r="J96" s="339"/>
      <x:c r="K96" s="339"/>
      <x:c r="L96" s="339"/>
      <x:c r="M96" s="339"/>
      <x:c r="N96" s="339"/>
      <x:c r="O96" s="339"/>
      <x:c r="P96" s="339"/>
      <x:c r="Q96" s="339"/>
      <x:c r="R96" s="339"/>
      <x:c r="S96" s="339"/>
      <x:c r="T96" s="339"/>
      <x:c r="U96" s="339"/>
      <x:c r="V96" s="339"/>
      <x:c r="W96" s="339"/>
      <x:c r="X96" s="339"/>
      <x:c r="Y96" s="339"/>
      <x:c r="Z96" s="339"/>
    </x:row>
    <x:row r="97">
      <x:c r="A97" s="28" t="str">
        <x:v>National social BCR — 5.0% earnings uplift</x:v>
      </x:c>
      <x:c r="B97" s="478" t="n">
        <x:f>('Human Capital &amp; Earnings'!$D$114+'Human Capital &amp; Earnings'!$G$114*5)/'Human Capital &amp; Earnings'!$C$114</x:f>
        <x:v>0.9815880320452496</x:v>
      </x:c>
      <x:c r="C97" s="478" t="n">
        <x:f>'Human Capital &amp; Earnings'!$K$102</x:f>
        <x:v>0.6920334476956341</x:v>
      </x:c>
      <x:c r="D97" s="28" t="str">
        <x:v>x</x:v>
      </x:c>
      <x:c r="E97" s="28" t="str">
        <x:v>4% intermediate sensitivity</x:v>
      </x:c>
      <x:c r="F97" s="28" t="str">
        <x:v>Scenario only</x:v>
      </x:c>
      <x:c r="G97" s="28" t="str">
        <x:v>Sensitivity</x:v>
      </x:c>
      <x:c r="H97" s="28" t="str">
        <x:v>Tests whether a larger broad gain closes the gap.</x:v>
      </x:c>
      <x:c r="I97" s="339"/>
      <x:c r="J97" s="339"/>
      <x:c r="K97" s="339"/>
      <x:c r="L97" s="339"/>
      <x:c r="M97" s="339"/>
      <x:c r="N97" s="339"/>
      <x:c r="O97" s="339"/>
      <x:c r="P97" s="339"/>
      <x:c r="Q97" s="339"/>
      <x:c r="R97" s="339"/>
      <x:c r="S97" s="339"/>
      <x:c r="T97" s="339"/>
      <x:c r="U97" s="339"/>
      <x:c r="V97" s="339"/>
      <x:c r="W97" s="339"/>
      <x:c r="X97" s="339"/>
      <x:c r="Y97" s="339"/>
      <x:c r="Z97" s="339"/>
    </x:row>
    <x:row r="98">
      <x:c r="A98" s="998" t="str">
        <x:v>National social break-even earnings uplift</x:v>
      </x:c>
      <x:c r="B98" s="999" t="n">
        <x:f>'Human Capital &amp; Earnings'!$J$114</x:f>
        <x:v>0.05168572155475939</x:v>
      </x:c>
      <x:c r="C98" s="999" t="n">
        <x:f>'Human Capital &amp; Earnings'!$J$117</x:f>
        <x:v>0.0851002355478312</x:v>
      </x:c>
      <x:c r="D98" s="998" t="str">
        <x:v>%</x:v>
      </x:c>
      <x:c r="E98" s="998" t="str">
        <x:v>4% intermediate sensitivity</x:v>
      </x:c>
      <x:c r="F98" s="998" t="str">
        <x:v>Calculated sensitivity</x:v>
      </x:c>
      <x:c r="G98" s="998" t="str">
        <x:v>Break-even</x:v>
      </x:c>
      <x:c r="H98" s="998" t="str">
        <x:v>Mature national design.</x:v>
      </x:c>
      <x:c r="I98" s="339"/>
      <x:c r="J98" s="339"/>
      <x:c r="K98" s="339"/>
      <x:c r="L98" s="339"/>
      <x:c r="M98" s="339"/>
      <x:c r="N98" s="339"/>
      <x:c r="O98" s="339"/>
      <x:c r="P98" s="339"/>
      <x:c r="Q98" s="339"/>
      <x:c r="R98" s="339"/>
      <x:c r="S98" s="339"/>
      <x:c r="T98" s="339"/>
      <x:c r="U98" s="339"/>
      <x:c r="V98" s="339"/>
      <x:c r="W98" s="339"/>
      <x:c r="X98" s="339"/>
      <x:c r="Y98" s="339"/>
      <x:c r="Z98" s="339"/>
    </x:row>
    <x:row r="99">
      <x:c r="A99" s="998" t="str">
        <x:v>National Crown fiscal break-even earnings uplift</x:v>
      </x:c>
      <x:c r="B99" s="999" t="n">
        <x:f>'Human Capital &amp; Earnings'!$K$114</x:f>
        <x:v>0.23373864282414236</x:v>
      </x:c>
      <x:c r="C99" s="999" t="n">
        <x:f>'Human Capital &amp; Earnings'!$K$117</x:f>
        <x:v>0.3174347047868822</x:v>
      </x:c>
      <x:c r="D99" s="998" t="str">
        <x:v>%</x:v>
      </x:c>
      <x:c r="E99" s="998" t="str">
        <x:v>4% intermediate sensitivity</x:v>
      </x:c>
      <x:c r="F99" s="998" t="str">
        <x:v>Calculated sensitivity</x:v>
      </x:c>
      <x:c r="G99" s="998" t="str">
        <x:v>Break-even</x:v>
      </x:c>
      <x:c r="H99" s="998" t="str">
        <x:v>Tax, ACC, benefit and loan offsets only.</x:v>
      </x:c>
      <x:c r="I99" s="339"/>
      <x:c r="J99" s="339"/>
      <x:c r="K99" s="339"/>
      <x:c r="L99" s="339"/>
      <x:c r="M99" s="339"/>
      <x:c r="N99" s="339"/>
      <x:c r="O99" s="339"/>
      <x:c r="P99" s="339"/>
      <x:c r="Q99" s="339"/>
      <x:c r="R99" s="339"/>
      <x:c r="S99" s="339"/>
      <x:c r="T99" s="339"/>
      <x:c r="U99" s="339"/>
      <x:c r="V99" s="339"/>
      <x:c r="W99" s="339"/>
      <x:c r="X99" s="339"/>
      <x:c r="Y99" s="339"/>
      <x:c r="Z99" s="339"/>
    </x:row>
    <x:row r="100">
      <x:c r="A100" s="998" t="str">
        <x:v>Core + accelerator social break-even</x:v>
      </x:c>
      <x:c r="B100" s="999" t="n">
        <x:f>'Human Capital &amp; Earnings'!$J$114</x:f>
        <x:v>0.05168572155475939</x:v>
      </x:c>
      <x:c r="C100" s="999" t="n">
        <x:f>'Human Capital &amp; Earnings'!$J$111</x:f>
        <x:v>0.033256642039771675</x:v>
      </x:c>
      <x:c r="D100" s="998" t="str">
        <x:v>%</x:v>
      </x:c>
      <x:c r="E100" s="998" t="str">
        <x:v>4% intermediate sensitivity</x:v>
      </x:c>
      <x:c r="F100" s="998" t="str">
        <x:v>Calculated sensitivity</x:v>
      </x:c>
      <x:c r="G100" s="998" t="str">
        <x:v>Targeted break-even</x:v>
      </x:c>
      <x:c r="H100" s="998" t="str">
        <x:v>Pilot / targeted column shows the bounded targeted-pilot break-even; national column shows the core-plus-accelerator break-even.</x:v>
      </x:c>
      <x:c r="I100" s="339"/>
      <x:c r="J100" s="339"/>
      <x:c r="K100" s="339"/>
      <x:c r="L100" s="339"/>
      <x:c r="M100" s="339"/>
      <x:c r="N100" s="339"/>
      <x:c r="O100" s="339"/>
      <x:c r="P100" s="339"/>
      <x:c r="Q100" s="339"/>
      <x:c r="R100" s="339"/>
      <x:c r="S100" s="339"/>
      <x:c r="T100" s="339"/>
      <x:c r="U100" s="339"/>
      <x:c r="V100" s="339"/>
      <x:c r="W100" s="339"/>
      <x:c r="X100" s="339"/>
      <x:c r="Y100" s="339"/>
      <x:c r="Z100" s="339"/>
    </x:row>
    <x:row r="101">
      <x:c r="A101" s="28" t="str">
        <x:v>Committed pooled co-investment</x:v>
      </x:c>
      <x:c r="B101" s="344" t="n">
        <x:v>0</x:v>
      </x:c>
      <x:c r="C101" s="344" t="n">
        <x:f>'Delivery Scenarios'!$B$14</x:f>
        <x:v>0</x:v>
      </x:c>
      <x:c r="D101" s="28" t="str">
        <x:v>NZD/year</x:v>
      </x:c>
      <x:c r="E101" s="28" t="str">
        <x:v>—</x:v>
      </x:c>
      <x:c r="F101" s="28" t="str">
        <x:v>Signed commitments only</x:v>
      </x:c>
      <x:c r="G101" s="28" t="str">
        <x:v>Central Crown model</x:v>
      </x:c>
      <x:c r="H101" s="28" t="str">
        <x:v>Currently zero.</x:v>
      </x:c>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1076" t="str">
        <x:v>Two social-CBA cost perspectives — 2% Treasury-aligned lead view</x:v>
      </x:c>
      <x:c r="B103" s="1076"/>
      <x:c r="C103" s="1076"/>
      <x:c r="D103" s="1076"/>
      <x:c r="E103" s="1076"/>
      <x:c r="F103" s="1076"/>
      <x:c r="G103" s="1076"/>
      <x:c r="H103" s="1076"/>
      <x:c r="I103" s="339"/>
      <x:c r="J103" s="339"/>
      <x:c r="K103" s="339"/>
      <x:c r="L103" s="339"/>
      <x:c r="M103" s="339"/>
      <x:c r="N103" s="339"/>
      <x:c r="O103" s="339"/>
      <x:c r="P103" s="339"/>
      <x:c r="Q103" s="339"/>
      <x:c r="R103" s="339"/>
      <x:c r="S103" s="339"/>
      <x:c r="T103" s="339"/>
      <x:c r="U103" s="339"/>
      <x:c r="V103" s="339"/>
      <x:c r="W103" s="339"/>
      <x:c r="X103" s="339"/>
      <x:c r="Y103" s="339"/>
      <x:c r="Z103" s="339"/>
    </x:row>
    <x:row r="104">
      <x:c r="A104" s="1074" t="str">
        <x:v>Measure</x:v>
      </x:c>
      <x:c r="B104" s="1074" t="str">
        <x:v>0% earnings uplift</x:v>
      </x:c>
      <x:c r="C104" s="1074" t="str">
        <x:v>1% earnings uplift</x:v>
      </x:c>
      <x:c r="D104" s="1074" t="str">
        <x:v>5% earnings uplift</x:v>
      </x:c>
      <x:c r="E104" s="1074" t="str">
        <x:v>Cost denominator</x:v>
      </x:c>
      <x:c r="F104" s="1074" t="str">
        <x:v>Status</x:v>
      </x:c>
      <x:c r="G104" s="1074" t="str">
        <x:v>Crown cash implication</x:v>
      </x:c>
      <x:c r="H104" s="1074" t="str">
        <x:v>Interpretation</x:v>
      </x:c>
      <x:c r="I104" s="339"/>
      <x:c r="J104" s="339"/>
      <x:c r="K104" s="339"/>
      <x:c r="L104" s="339"/>
      <x:c r="M104" s="339"/>
      <x:c r="N104" s="339"/>
      <x:c r="O104" s="339"/>
      <x:c r="P104" s="339"/>
      <x:c r="Q104" s="339"/>
      <x:c r="R104" s="339"/>
      <x:c r="S104" s="339"/>
      <x:c r="T104" s="339"/>
      <x:c r="U104" s="339"/>
      <x:c r="V104" s="339"/>
      <x:c r="W104" s="339"/>
      <x:c r="X104" s="339"/>
      <x:c r="Y104" s="339"/>
      <x:c r="Z104" s="339"/>
    </x:row>
    <x:row r="105">
      <x:c r="A105" s="28" t="str">
        <x:v>Full-expenditure social-investment BCR — 2%</x:v>
      </x:c>
      <x:c r="B105" s="1077" t="n">
        <x:f>'Human Capital &amp; Earnings'!$J$96</x:f>
        <x:v>0.25333759922376436</x:v>
      </x:c>
      <x:c r="C105" s="1077" t="n">
        <x:f>'Human Capital &amp; Earnings'!$J$99</x:f>
        <x:v>0.3817901563689555</x:v>
      </x:c>
      <x:c r="D105" s="1077" t="n">
        <x:f>'Human Capital &amp; Earnings'!$J$102</x:f>
        <x:v>0.8956003849497204</x:v>
      </x:c>
      <x:c r="E105" s="28" t="str">
        <x:v>Full mature annual public expenditure</x:v>
      </x:c>
      <x:c r="F105" s="28" t="str">
        <x:v>Calculated sensitivity</x:v>
      </x:c>
      <x:c r="G105" s="28" t="str">
        <x:v>Full appropriation remains payable</x:v>
      </x:c>
      <x:c r="H105" s="28" t="str">
        <x:v>Stringent value-for-money view.</x:v>
      </x:c>
      <x:c r="I105" s="339"/>
      <x:c r="J105" s="339"/>
      <x:c r="K105" s="339"/>
      <x:c r="L105" s="339"/>
      <x:c r="M105" s="339"/>
      <x:c r="N105" s="339"/>
      <x:c r="O105" s="339"/>
      <x:c r="P105" s="339"/>
      <x:c r="Q105" s="339"/>
      <x:c r="R105" s="339"/>
      <x:c r="S105" s="339"/>
      <x:c r="T105" s="339"/>
      <x:c r="U105" s="339"/>
      <x:c r="V105" s="339"/>
      <x:c r="W105" s="339"/>
      <x:c r="X105" s="339"/>
      <x:c r="Y105" s="339"/>
      <x:c r="Z105" s="339"/>
    </x:row>
    <x:row r="106">
      <x:c r="A106" s="28" t="str">
        <x:v>Provisional alternative economic treatment of participant transfers — not Treasury-confirmed — 2%</x:v>
      </x:c>
      <x:c r="B106" s="1077" t="n">
        <x:f>'Human Capital &amp; Earnings'!$O$96</x:f>
        <x:v>1.245820816324538</x:v>
      </x:c>
      <x:c r="C106" s="1077" t="n">
        <x:f>'Human Capital &amp; Earnings'!$O$99</x:f>
        <x:v>1.8775030857228854</x:v>
      </x:c>
      <x:c r="D106" s="1077" t="n">
        <x:f>'Human Capital &amp; Earnings'!$O$102</x:f>
        <x:v>4.404232163316275</x:v>
      </x:c>
      <x:c r="E106" s="28" t="str">
        <x:v>Real national resource cost after provisional transfer adjustment</x:v>
      </x:c>
      <x:c r="F106" s="28" t="str">
        <x:v>Provisional methodology — Treasury confirmation required</x:v>
      </x:c>
      <x:c r="G106" s="28" t="str">
        <x:v>Full appropriation remains payable</x:v>
      </x:c>
      <x:c r="H106" s="28" t="str">
        <x:v>Technical sensitivity only; full Crown appropriation remains payable.</x:v>
      </x:c>
      <x:c r="I106" s="339"/>
      <x:c r="J106" s="339"/>
      <x:c r="K106" s="339"/>
      <x:c r="L106" s="339"/>
      <x:c r="M106" s="339"/>
      <x:c r="N106" s="339"/>
      <x:c r="O106" s="339"/>
      <x:c r="P106" s="339"/>
      <x:c r="Q106" s="339"/>
      <x:c r="R106" s="339"/>
      <x:c r="S106" s="339"/>
      <x:c r="T106" s="339"/>
      <x:c r="U106" s="339"/>
      <x:c r="V106" s="339"/>
      <x:c r="W106" s="339"/>
      <x:c r="X106" s="339"/>
      <x:c r="Y106" s="339"/>
      <x:c r="Z106" s="339"/>
    </x:row>
    <x:row r="107">
      <x:c r="A107" s="28" t="str">
        <x:v>Full-expenditure social-investment BCR — 4%</x:v>
      </x:c>
      <x:c r="B107" s="1077" t="n">
        <x:f>'Human Capital &amp; Earnings'!$K$96</x:f>
        <x:v>0.25333759922376436</x:v>
      </x:c>
      <x:c r="C107" s="1077" t="n">
        <x:f>'Human Capital &amp; Earnings'!$K$99</x:f>
        <x:v>0.3410767689181383</x:v>
      </x:c>
      <x:c r="D107" s="1077" t="n">
        <x:f>'Human Capital &amp; Earnings'!$K$102</x:f>
        <x:v>0.6920334476956341</x:v>
      </x:c>
      <x:c r="E107" s="28" t="str">
        <x:v>Full mature annual public expenditure</x:v>
      </x:c>
      <x:c r="F107" s="28" t="str">
        <x:v>Intermediate sensitivity</x:v>
      </x:c>
      <x:c r="G107" s="28" t="str">
        <x:v>Full appropriation remains payable</x:v>
      </x:c>
      <x:c r="H107" s="28" t="str">
        <x:v>Intermediate analytical sensitivity only.</x:v>
      </x:c>
      <x:c r="I107" s="339"/>
      <x:c r="J107" s="339"/>
      <x:c r="K107" s="339"/>
      <x:c r="L107" s="339"/>
      <x:c r="M107" s="339"/>
      <x:c r="N107" s="339"/>
      <x:c r="O107" s="339"/>
      <x:c r="P107" s="339"/>
      <x:c r="Q107" s="339"/>
      <x:c r="R107" s="339"/>
      <x:c r="S107" s="339"/>
      <x:c r="T107" s="339"/>
      <x:c r="U107" s="339"/>
      <x:c r="V107" s="339"/>
      <x:c r="W107" s="339"/>
      <x:c r="X107" s="339"/>
      <x:c r="Y107" s="339"/>
      <x:c r="Z107" s="339"/>
    </x:row>
    <x:row r="108">
      <x:c r="A108" s="28" t="str">
        <x:v>Provisional alternative economic treatment of participant transfers — not Treasury-confirmed — 4%</x:v>
      </x:c>
      <x:c r="B108" s="1077" t="n">
        <x:f>'Human Capital &amp; Earnings'!$P$96</x:f>
        <x:v>1.245820816324538</x:v>
      </x:c>
      <x:c r="C108" s="1077" t="n">
        <x:f>'Human Capital &amp; Earnings'!$P$99</x:f>
        <x:v>1.6772896719038268</x:v>
      </x:c>
      <x:c r="D108" s="1077" t="n">
        <x:f>'Human Capital &amp; Earnings'!$P$102</x:f>
        <x:v>3.403165094220982</x:v>
      </x:c>
      <x:c r="E108" s="28" t="str">
        <x:v>Provisional transfer-adjusted resource cost</x:v>
      </x:c>
      <x:c r="F108" s="28" t="str">
        <x:v>Provisional methodology — Treasury confirmation required</x:v>
      </x:c>
      <x:c r="G108" s="28" t="str">
        <x:v>Full appropriation remains payable</x:v>
      </x:c>
      <x:c r="H108" s="28" t="str">
        <x:v>Technical sensitivity only; full Crown appropriation remains payable.</x:v>
      </x:c>
      <x:c r="I108" s="339"/>
      <x:c r="J108" s="339"/>
      <x:c r="K108" s="339"/>
      <x:c r="L108" s="339"/>
      <x:c r="M108" s="339"/>
      <x:c r="N108" s="339"/>
      <x:c r="O108" s="339"/>
      <x:c r="P108" s="339"/>
      <x:c r="Q108" s="339"/>
      <x:c r="R108" s="339"/>
      <x:c r="S108" s="339"/>
      <x:c r="T108" s="339"/>
      <x:c r="U108" s="339"/>
      <x:c r="V108" s="339"/>
      <x:c r="W108" s="339"/>
      <x:c r="X108" s="339"/>
      <x:c r="Y108" s="339"/>
      <x:c r="Z108" s="339"/>
    </x:row>
    <x:row r="109">
      <x:c r="A109" s="28" t="str">
        <x:v>Full-expenditure social-investment BCR — 8%</x:v>
      </x:c>
      <x:c r="B109" s="1077" t="n">
        <x:f>'Human Capital &amp; Earnings'!$L$96</x:f>
        <x:v>0.25333759922376436</x:v>
      </x:c>
      <x:c r="C109" s="1077" t="n">
        <x:f>'Human Capital &amp; Earnings'!$L$99</x:f>
        <x:v>0.3016465071613768</x:v>
      </x:c>
      <x:c r="D109" s="1077" t="n">
        <x:f>'Human Capital &amp; Earnings'!$L$102</x:f>
        <x:v>0.49488213891182653</x:v>
      </x:c>
      <x:c r="E109" s="28" t="str">
        <x:v>Full mature annual public expenditure</x:v>
      </x:c>
      <x:c r="F109" s="28" t="str">
        <x:v>High sensitivity</x:v>
      </x:c>
      <x:c r="G109" s="28" t="str">
        <x:v>Full appropriation remains payable</x:v>
      </x:c>
      <x:c r="H109" s="28" t="str">
        <x:v>High discount-rate view.</x:v>
      </x:c>
      <x:c r="I109" s="339"/>
      <x:c r="J109" s="339"/>
      <x:c r="K109" s="339"/>
      <x:c r="L109" s="339"/>
      <x:c r="M109" s="339"/>
      <x:c r="N109" s="339"/>
      <x:c r="O109" s="339"/>
      <x:c r="P109" s="339"/>
      <x:c r="Q109" s="339"/>
      <x:c r="R109" s="339"/>
      <x:c r="S109" s="339"/>
      <x:c r="T109" s="339"/>
      <x:c r="U109" s="339"/>
      <x:c r="V109" s="339"/>
      <x:c r="W109" s="339"/>
      <x:c r="X109" s="339"/>
      <x:c r="Y109" s="339"/>
      <x:c r="Z109" s="339"/>
    </x:row>
    <x:row r="110">
      <x:c r="A110" s="28" t="str">
        <x:v>Provisional alternative economic treatment of participant transfers — not Treasury-confirmed — 8%</x:v>
      </x:c>
      <x:c r="B110" s="1077" t="n">
        <x:f>'Human Capital &amp; Earnings'!$Q$96</x:f>
        <x:v>1.245820816324538</x:v>
      </x:c>
      <x:c r="C110" s="1077" t="n">
        <x:f>'Human Capital &amp; Earnings'!$Q$99</x:f>
        <x:v>1.4833861966983553</x:v>
      </x:c>
      <x:c r="D110" s="1077" t="n">
        <x:f>'Human Capital &amp; Earnings'!$Q$102</x:f>
        <x:v>2.4336477181936247</x:v>
      </x:c>
      <x:c r="E110" s="28" t="str">
        <x:v>Provisional transfer-adjusted resource cost</x:v>
      </x:c>
      <x:c r="F110" s="28" t="str">
        <x:v>Provisional methodology — Treasury confirmation required</x:v>
      </x:c>
      <x:c r="G110" s="28" t="str">
        <x:v>Full appropriation remains payable</x:v>
      </x:c>
      <x:c r="H110" s="28" t="str">
        <x:v>Technical sensitivity only; full Crown appropriation remains payable.</x:v>
      </x:c>
      <x:c r="I110" s="339"/>
      <x:c r="J110" s="339"/>
      <x:c r="K110" s="339"/>
      <x:c r="L110" s="339"/>
      <x:c r="M110" s="339"/>
      <x:c r="N110" s="339"/>
      <x:c r="O110" s="339"/>
      <x:c r="P110" s="339"/>
      <x:c r="Q110" s="339"/>
      <x:c r="R110" s="339"/>
      <x:c r="S110" s="339"/>
      <x:c r="T110" s="339"/>
      <x:c r="U110" s="339"/>
      <x:c r="V110" s="339"/>
      <x:c r="W110" s="339"/>
      <x:c r="X110" s="339"/>
      <x:c r="Y110" s="339"/>
      <x:c r="Z110" s="339"/>
    </x:row>
    <x:row r="111">
      <x:c r="A111" s="28" t="str">
        <x:v>Control statement</x:v>
      </x:c>
      <x:c r="B111" s="28"/>
      <x:c r="C111" s="28"/>
      <x:c r="D111" s="28"/>
      <x:c r="E111" s="28"/>
      <x:c r="F111" s="28" t="str">
        <x:v>No double counting</x:v>
      </x:c>
      <x:c r="G111" s="28" t="str">
        <x:v>Participant payments are not fiscally free</x:v>
      </x:c>
      <x:c r="H111" s="28" t="str">
        <x:v>Student account value and investment returns are not added as free national benefits.</x:v>
      </x:c>
      <x:c r="I111" s="339"/>
      <x:c r="J111" s="339"/>
      <x:c r="K111" s="339"/>
      <x:c r="L111" s="339"/>
      <x:c r="M111" s="339"/>
      <x:c r="N111" s="339"/>
      <x:c r="O111" s="339"/>
      <x:c r="P111" s="339"/>
      <x:c r="Q111" s="339"/>
      <x:c r="R111" s="339"/>
      <x:c r="S111" s="339"/>
      <x:c r="T111" s="339"/>
      <x:c r="U111" s="339"/>
      <x:c r="V111" s="339"/>
      <x:c r="W111" s="339"/>
      <x:c r="X111" s="339"/>
      <x:c r="Y111" s="339"/>
      <x:c r="Z111" s="339"/>
    </x:row>
    <x:row r="112" ht="24" customHeight="1">
      <x:c r="A112" s="1312"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112" s="1312"/>
      <x:c r="C112" s="1312"/>
      <x:c r="D112" s="1312"/>
      <x:c r="E112" s="1312"/>
      <x:c r="F112" s="1312"/>
      <x:c r="G112" s="1312"/>
      <x:c r="H112" s="1312"/>
      <x:c r="I112" s="339"/>
      <x:c r="J112" s="339"/>
      <x:c r="K112" s="339"/>
      <x:c r="L112" s="339"/>
      <x:c r="M112" s="339"/>
      <x:c r="N112" s="339"/>
      <x:c r="O112" s="339"/>
      <x:c r="P112" s="339"/>
      <x:c r="Q112" s="339"/>
      <x:c r="R112" s="339"/>
      <x:c r="S112" s="339"/>
      <x:c r="T112" s="339"/>
      <x:c r="U112" s="339"/>
      <x:c r="V112" s="339"/>
      <x:c r="W112" s="339"/>
      <x:c r="X112" s="339"/>
      <x:c r="Y112" s="339"/>
      <x:c r="Z112" s="339"/>
    </x:row>
    <x:row r="113" ht="24" customHeight="1">
      <x:c r="A113" s="1312"/>
      <x:c r="B113" s="1312"/>
      <x:c r="C113" s="1312"/>
      <x:c r="D113" s="1312"/>
      <x:c r="E113" s="1312"/>
      <x:c r="F113" s="1312"/>
      <x:c r="G113" s="1312"/>
      <x:c r="H113" s="1312"/>
      <x:c r="I113" s="339"/>
      <x:c r="J113" s="339"/>
      <x:c r="K113" s="339"/>
      <x:c r="L113" s="339"/>
      <x:c r="M113" s="339"/>
      <x:c r="N113" s="339"/>
      <x:c r="O113" s="339"/>
      <x:c r="P113" s="339"/>
      <x:c r="Q113" s="339"/>
      <x:c r="R113" s="339"/>
      <x:c r="S113" s="339"/>
      <x:c r="T113" s="339"/>
      <x:c r="U113" s="339"/>
      <x:c r="V113" s="339"/>
      <x:c r="W113" s="339"/>
      <x:c r="X113" s="339"/>
      <x:c r="Y113" s="339"/>
      <x:c r="Z113" s="339"/>
    </x:row>
    <x:row r="114" ht="24" customHeight="1">
      <x:c r="A114" s="1312"/>
      <x:c r="B114" s="1312"/>
      <x:c r="C114" s="1312"/>
      <x:c r="D114" s="1312"/>
      <x:c r="E114" s="1312"/>
      <x:c r="F114" s="1312"/>
      <x:c r="G114" s="1312"/>
      <x:c r="H114" s="1312"/>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H1"/>
    <x:mergeCell ref="A2:H2"/>
    <x:mergeCell ref="A5:H5"/>
    <x:mergeCell ref="A13:H13"/>
    <x:mergeCell ref="A21:H21"/>
    <x:mergeCell ref="A32:H32"/>
    <x:mergeCell ref="A41:H41"/>
    <x:mergeCell ref="A47:H47"/>
    <x:mergeCell ref="A57:H57"/>
    <x:mergeCell ref="A71:H71"/>
    <x:mergeCell ref="A90:H90"/>
    <x:mergeCell ref="A103:H103"/>
    <x:mergeCell ref="A112:H114"/>
  </x:mergeCells>
  <x:pageMargins left="0.7" right="0.7" top="0.75" bottom="0.75" header="0.3" footer="0.3"/>
</x:worksheet>
</file>

<file path=xl/worksheets/sheet13.xml><?xml version="1.0" encoding="utf-8"?>
<x:worksheet xmlns:x="http://schemas.openxmlformats.org/spreadsheetml/2006/main">
  <x:sheetFormatPr defaultRowHeight="15"/>
  <x:cols>
    <x:col min="1" max="1" width="12" hidden="0" customWidth="1"/>
    <x:col min="2" max="2" width="38" hidden="0" customWidth="1"/>
    <x:col min="3" max="3" width="44" hidden="0" customWidth="1"/>
    <x:col min="4" max="4" width="56" hidden="0" customWidth="1"/>
    <x:col min="5" max="5" width="34" hidden="0" customWidth="1"/>
    <x:col min="6" max="6" width="28" hidden="0" customWidth="1"/>
    <x:col min="7" max="7" width="14" hidden="0" customWidth="1"/>
  </x:cols>
  <x:sheetData>
    <x:row r="1" ht="30" customHeight="1">
      <x:c r="A1" s="338" t="str">
        <x:v>Validation and Procurement Log</x:v>
      </x:c>
      <x:c r="B1" s="338" t="str">
        <x:v>Validation and Procurement Log</x:v>
      </x:c>
      <x:c r="C1" s="338" t="str">
        <x:v>Validation and Procurement Log</x:v>
      </x:c>
      <x:c r="D1" s="338" t="str">
        <x:v>Validation and Procurement Log</x:v>
      </x:c>
      <x:c r="E1" s="338" t="str">
        <x:v>Validation and Procurement Log</x:v>
      </x:c>
      <x:c r="F1" s="338" t="str">
        <x:v>Validation and Procurement Log</x:v>
      </x:c>
      <x:c r="G1" s="338" t="str">
        <x:v>Validation and Procurement Log</x:v>
      </x:c>
      <x:c r="H1" s="339"/>
      <x:c r="I1" s="339"/>
      <x:c r="J1" s="339"/>
      <x:c r="K1" s="339"/>
      <x:c r="L1" s="339"/>
      <x:c r="M1" s="339"/>
      <x:c r="N1" s="339"/>
      <x:c r="O1" s="339"/>
      <x:c r="P1" s="339"/>
      <x:c r="Q1" s="339"/>
      <x:c r="R1" s="339"/>
      <x:c r="S1" s="339"/>
      <x:c r="T1" s="339"/>
      <x:c r="U1" s="339"/>
      <x:c r="V1" s="339"/>
      <x:c r="W1" s="339"/>
      <x:c r="X1" s="339"/>
      <x:c r="Y1" s="339"/>
      <x:c r="Z1" s="339"/>
    </x:row>
    <x:row r="2" ht="28" customHeight="1">
      <x:c r="A2" s="340" t="str">
        <x:v>These items must be closed before the workbook is described as an independently costed or government-ready financial model.</x:v>
      </x:c>
      <x:c r="B2" s="340" t="str">
        <x:v>These items must be closed before the workbook is described as an independently costed or government-ready financial model.</x:v>
      </x:c>
      <x:c r="C2" s="340" t="str">
        <x:v>These items must be closed before the workbook is described as an independently costed or government-ready financial model.</x:v>
      </x:c>
      <x:c r="D2" s="340" t="str">
        <x:v>These items must be closed before the workbook is described as an independently costed or government-ready financial model.</x:v>
      </x:c>
      <x:c r="E2" s="340" t="str">
        <x:v>These items must be closed before the workbook is described as an independently costed or government-ready financial model.</x:v>
      </x:c>
      <x:c r="F2" s="340" t="str">
        <x:v>These items must be closed before the workbook is described as an independently costed or government-ready financial model.</x:v>
      </x:c>
      <x:c r="G2" s="340" t="str">
        <x:v>These items must be closed before the workbook is described as an independently costed or government-ready financial model.</x:v>
      </x:c>
      <x:c r="H2" s="339"/>
      <x:c r="I2" s="339"/>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343" t="str">
        <x:v>Priority</x:v>
      </x:c>
      <x:c r="B4" s="343" t="str">
        <x:v>Open item</x:v>
      </x:c>
      <x:c r="C4" s="343" t="str">
        <x:v>Current treatment</x:v>
      </x:c>
      <x:c r="D4" s="343" t="str">
        <x:v>Required evidence</x:v>
      </x:c>
      <x:c r="E4" s="343" t="str">
        <x:v>Owner / decision-maker</x:v>
      </x:c>
      <x:c r="F4" s="343" t="str">
        <x:v>Stage gate</x:v>
      </x:c>
      <x:c r="G4" s="343" t="str">
        <x:v>Status</x:v>
      </x:c>
      <x:c r="H4" s="339"/>
      <x:c r="I4" s="339"/>
      <x:c r="J4" s="339"/>
      <x:c r="K4" s="339"/>
      <x:c r="L4" s="339"/>
      <x:c r="M4" s="339"/>
      <x:c r="N4" s="339"/>
      <x:c r="O4" s="339"/>
      <x:c r="P4" s="339"/>
      <x:c r="Q4" s="339"/>
      <x:c r="R4" s="339"/>
      <x:c r="S4" s="339"/>
      <x:c r="T4" s="339"/>
      <x:c r="U4" s="339"/>
      <x:c r="V4" s="339"/>
      <x:c r="W4" s="339"/>
      <x:c r="X4" s="339"/>
      <x:c r="Y4" s="339"/>
      <x:c r="Z4" s="339"/>
    </x:row>
    <x:row r="5">
      <x:c r="A5" s="288" t="str">
        <x:v>Critical</x:v>
      </x:c>
      <x:c r="B5" s="28" t="str">
        <x:v>Exact pilot sample definition</x:v>
      </x:c>
      <x:c r="C5" s="28" t="str">
        <x:v>4,200 treatment + 4,200 comparison assumed</x:v>
      </x:c>
      <x:c r="D5" s="28" t="str">
        <x:v>Independent power analysis and explicit treatment/control wording</x:v>
      </x:c>
      <x:c r="E5" s="28" t="str">
        <x:v>Independent evaluator + Ministry of Education</x:v>
      </x:c>
      <x:c r="F5" s="28" t="str">
        <x:v>Before pilot costing sign-off</x:v>
      </x:c>
      <x:c r="G5" s="290" t="str">
        <x:v>OPEN</x:v>
      </x:c>
      <x:c r="H5" s="339"/>
      <x:c r="I5" s="339"/>
      <x:c r="J5" s="339"/>
      <x:c r="K5" s="339"/>
      <x:c r="L5" s="339"/>
      <x:c r="M5" s="339"/>
      <x:c r="N5" s="339"/>
      <x:c r="O5" s="339"/>
      <x:c r="P5" s="339"/>
      <x:c r="Q5" s="339"/>
      <x:c r="R5" s="339"/>
      <x:c r="S5" s="339"/>
      <x:c r="T5" s="339"/>
      <x:c r="U5" s="339"/>
      <x:c r="V5" s="339"/>
      <x:c r="W5" s="339"/>
      <x:c r="X5" s="339"/>
      <x:c r="Y5" s="339"/>
      <x:c r="Z5" s="339"/>
    </x:row>
    <x:row r="6">
      <x:c r="A6" s="288" t="str">
        <x:v>Critical</x:v>
      </x:c>
      <x:c r="B6" s="28" t="str">
        <x:v>Exact national eligible cohort</x:v>
      </x:c>
      <x:c r="C6" s="28" t="str">
        <x:v>311,743 secondary subtotal used as proxy</x:v>
      </x:c>
      <x:c r="D6" s="28" t="str">
        <x:v>Year 9–13 / age 13–18 roll extract including composite schools and kura</x:v>
      </x:c>
      <x:c r="E6" s="28" t="str">
        <x:v>Ministry of Education / Education Counts</x:v>
      </x:c>
      <x:c r="F6" s="28" t="str">
        <x:v>Before national costing is quoted</x:v>
      </x:c>
      <x:c r="G6" s="290" t="str">
        <x:v>OPEN</x:v>
      </x:c>
      <x:c r="H6" s="339"/>
      <x:c r="I6" s="339"/>
      <x:c r="J6" s="339"/>
      <x:c r="K6" s="339"/>
      <x:c r="L6" s="339"/>
      <x:c r="M6" s="339"/>
      <x:c r="N6" s="339"/>
      <x:c r="O6" s="339"/>
      <x:c r="P6" s="339"/>
      <x:c r="Q6" s="339"/>
      <x:c r="R6" s="339"/>
      <x:c r="S6" s="339"/>
      <x:c r="T6" s="339"/>
      <x:c r="U6" s="339"/>
      <x:c r="V6" s="339"/>
      <x:c r="W6" s="339"/>
      <x:c r="X6" s="339"/>
      <x:c r="Y6" s="339"/>
      <x:c r="Z6" s="339"/>
    </x:row>
    <x:row r="7">
      <x:c r="A7" s="288" t="str">
        <x:v>Critical</x:v>
      </x:c>
      <x:c r="B7" s="28" t="str">
        <x:v>Stipend utilisation and eligibility</x:v>
      </x:c>
      <x:c r="C7" s="28" t="str">
        <x:v>55%→70% average earned in pilot; 65% national</x:v>
      </x:c>
      <x:c r="D7" s="28" t="str">
        <x:v>Behavioural pilot data, rules, absence treatment, caps and gaming analysis</x:v>
      </x:c>
      <x:c r="E7" s="28" t="str">
        <x:v>Programme governance + evaluator</x:v>
      </x:c>
      <x:c r="F7" s="28" t="str">
        <x:v>Pilot design and before scale</x:v>
      </x:c>
      <x:c r="G7" s="290" t="str">
        <x:v>OPEN</x:v>
      </x:c>
      <x:c r="H7" s="339"/>
      <x:c r="I7" s="339"/>
      <x:c r="J7" s="339"/>
      <x:c r="K7" s="339"/>
      <x:c r="L7" s="339"/>
      <x:c r="M7" s="339"/>
      <x:c r="N7" s="339"/>
      <x:c r="O7" s="339"/>
      <x:c r="P7" s="339"/>
      <x:c r="Q7" s="339"/>
      <x:c r="R7" s="339"/>
      <x:c r="S7" s="339"/>
      <x:c r="T7" s="339"/>
      <x:c r="U7" s="339"/>
      <x:c r="V7" s="339"/>
      <x:c r="W7" s="339"/>
      <x:c r="X7" s="339"/>
      <x:c r="Y7" s="339"/>
      <x:c r="Z7" s="339"/>
    </x:row>
    <x:row r="8">
      <x:c r="A8" s="288" t="str">
        <x:v>Critical</x:v>
      </x:c>
      <x:c r="B8" s="28" t="str">
        <x:v>Payment administration and Learning Capital Account</x:v>
      </x:c>
      <x:c r="C8" s="28" t="str">
        <x:v>Pilot and national allowances are explicit placeholders</x:v>
      </x:c>
      <x:c r="D8" s="28" t="str">
        <x:v>Formal MSD/StudyLink, regulated-provider, custodian, transaction and staffing estimates; legal and accounting design</x:v>
      </x:c>
      <x:c r="E8" s="28" t="str">
        <x:v>MSD / StudyLink / Treasury / legal</x:v>
      </x:c>
      <x:c r="F8" s="28" t="str">
        <x:v>Year 0 business case</x:v>
      </x:c>
      <x:c r="G8" s="290" t="str">
        <x:v>OPEN</x:v>
      </x:c>
      <x:c r="H8" s="339"/>
      <x:c r="I8" s="339"/>
      <x:c r="J8" s="339"/>
      <x:c r="K8" s="339"/>
      <x:c r="L8" s="339"/>
      <x:c r="M8" s="339"/>
      <x:c r="N8" s="339"/>
      <x:c r="O8" s="339"/>
      <x:c r="P8" s="339"/>
      <x:c r="Q8" s="339"/>
      <x:c r="R8" s="339"/>
      <x:c r="S8" s="339"/>
      <x:c r="T8" s="339"/>
      <x:c r="U8" s="339"/>
      <x:c r="V8" s="339"/>
      <x:c r="W8" s="339"/>
      <x:c r="X8" s="339"/>
      <x:c r="Y8" s="339"/>
      <x:c r="Z8" s="339"/>
    </x:row>
    <x:row r="9">
      <x:c r="A9" s="288" t="str">
        <x:v>Critical</x:v>
      </x:c>
      <x:c r="B9" s="28" t="str">
        <x:v>Tax, benefit and family-income interactions</x:v>
      </x:c>
      <x:c r="C9" s="28" t="str">
        <x:v>Not modelled</x:v>
      </x:c>
      <x:c r="D9" s="28" t="str">
        <x:v>IRD, MSD and legal advice on treatment of accessible and locked amounts</x:v>
      </x:c>
      <x:c r="E9" s="28" t="str">
        <x:v>IRD / MSD / Crown Law or external counsel</x:v>
      </x:c>
      <x:c r="F9" s="28" t="str">
        <x:v>Year 0 business case</x:v>
      </x:c>
      <x:c r="G9" s="290" t="str">
        <x:v>OPEN</x:v>
      </x:c>
      <x:c r="H9" s="339"/>
      <x:c r="I9" s="339"/>
      <x:c r="J9" s="339"/>
      <x:c r="K9" s="339"/>
      <x:c r="L9" s="339"/>
      <x:c r="M9" s="339"/>
      <x:c r="N9" s="339"/>
      <x:c r="O9" s="339"/>
      <x:c r="P9" s="339"/>
      <x:c r="Q9" s="339"/>
      <x:c r="R9" s="339"/>
      <x:c r="S9" s="339"/>
      <x:c r="T9" s="339"/>
      <x:c r="U9" s="339"/>
      <x:c r="V9" s="339"/>
      <x:c r="W9" s="339"/>
      <x:c r="X9" s="339"/>
      <x:c r="Y9" s="339"/>
      <x:c r="Z9" s="339"/>
    </x:row>
    <x:row r="10">
      <x:c r="A10" s="288" t="str">
        <x:v>Critical</x:v>
      </x:c>
      <x:c r="B10" s="28" t="str">
        <x:v>Technology architecture and build-vs-buy</x:v>
      </x:c>
      <x:c r="C10" s="28" t="str">
        <x:v>Professional-hours allowance</x:v>
      </x:c>
      <x:c r="D10" s="28" t="str">
        <x:v>Reference architecture, privacy/security classification, vendor discovery and competitive quotes</x:v>
      </x:c>
      <x:c r="E10" s="28" t="str">
        <x:v>Government digital lead / procurement</x:v>
      </x:c>
      <x:c r="F10" s="28" t="str">
        <x:v>Before pilot procurement</x:v>
      </x:c>
      <x:c r="G10" s="290" t="str">
        <x:v>OPEN</x:v>
      </x:c>
      <x:c r="H10" s="339"/>
      <x:c r="I10" s="339"/>
      <x:c r="J10" s="339"/>
      <x:c r="K10" s="339"/>
      <x:c r="L10" s="339"/>
      <x:c r="M10" s="339"/>
      <x:c r="N10" s="339"/>
      <x:c r="O10" s="339"/>
      <x:c r="P10" s="339"/>
      <x:c r="Q10" s="339"/>
      <x:c r="R10" s="339"/>
      <x:c r="S10" s="339"/>
      <x:c r="T10" s="339"/>
      <x:c r="U10" s="339"/>
      <x:c r="V10" s="339"/>
      <x:c r="W10" s="339"/>
      <x:c r="X10" s="339"/>
      <x:c r="Y10" s="339"/>
      <x:c r="Z10" s="339"/>
    </x:row>
    <x:row r="11">
      <x:c r="A11" s="288" t="str">
        <x:v>Critical</x:v>
      </x:c>
      <x:c r="B11" s="28" t="str">
        <x:v>Independent evaluation cost and design</x:v>
      </x:c>
      <x:c r="C11" s="28" t="str">
        <x:v>Hours-based allowance</x:v>
      </x:c>
      <x:c r="D11" s="28" t="str">
        <x:v>Competitive evaluator proposal, power calculation, ethics, data linkage and long-term follow-up plan</x:v>
      </x:c>
      <x:c r="E11" s="28" t="str">
        <x:v>Independent evaluator</x:v>
      </x:c>
      <x:c r="F11" s="28" t="str">
        <x:v>Year 0 business case</x:v>
      </x:c>
      <x:c r="G11" s="290" t="str">
        <x:v>OPEN</x:v>
      </x:c>
      <x:c r="H11" s="339"/>
      <x:c r="I11" s="339"/>
      <x:c r="J11" s="339"/>
      <x:c r="K11" s="339"/>
      <x:c r="L11" s="339"/>
      <x:c r="M11" s="339"/>
      <x:c r="N11" s="339"/>
      <x:c r="O11" s="339"/>
      <x:c r="P11" s="339"/>
      <x:c r="Q11" s="339"/>
      <x:c r="R11" s="339"/>
      <x:c r="S11" s="339"/>
      <x:c r="T11" s="339"/>
      <x:c r="U11" s="339"/>
      <x:c r="V11" s="339"/>
      <x:c r="W11" s="339"/>
      <x:c r="X11" s="339"/>
      <x:c r="Y11" s="339"/>
      <x:c r="Z11" s="339"/>
    </x:row>
    <x:row r="12">
      <x:c r="A12" s="288" t="str">
        <x:v>High</x:v>
      </x:c>
      <x:c r="B12" s="28" t="str">
        <x:v>School coordinator ratio and workload</x:v>
      </x:c>
      <x:c r="C12" s="28" t="str">
        <x:v>1 FTE per 500 pilot / 600 national</x:v>
      </x:c>
      <x:c r="D12" s="28" t="str">
        <x:v>Time-and-motion testing in schools; union, principal and coordinator feedback</x:v>
      </x:c>
      <x:c r="E12" s="28" t="str">
        <x:v>Ministry of Education + schools</x:v>
      </x:c>
      <x:c r="F12" s="28" t="str">
        <x:v>Year 0 readiness gate</x:v>
      </x:c>
      <x:c r="G12" s="290" t="str">
        <x:v>OPEN</x:v>
      </x:c>
      <x:c r="H12" s="339"/>
      <x:c r="I12" s="339"/>
      <x:c r="J12" s="339"/>
      <x:c r="K12" s="339"/>
      <x:c r="L12" s="339"/>
      <x:c r="M12" s="339"/>
      <x:c r="N12" s="339"/>
      <x:c r="O12" s="339"/>
      <x:c r="P12" s="339"/>
      <x:c r="Q12" s="339"/>
      <x:c r="R12" s="339"/>
      <x:c r="S12" s="339"/>
      <x:c r="T12" s="339"/>
      <x:c r="U12" s="339"/>
      <x:c r="V12" s="339"/>
      <x:c r="W12" s="339"/>
      <x:c r="X12" s="339"/>
      <x:c r="Y12" s="339"/>
      <x:c r="Z12" s="339"/>
    </x:row>
    <x:row r="13">
      <x:c r="A13" s="288" t="str">
        <x:v>High</x:v>
      </x:c>
      <x:c r="B13" s="28" t="str">
        <x:v>School capacity grants</x:v>
      </x:c>
      <x:c r="C13" s="28" t="str">
        <x:v>$100k treatment / $30k comparison; $80k national</x:v>
      </x:c>
      <x:c r="D13" s="28" t="str">
        <x:v>School-level implementation budgets and burden estimates</x:v>
      </x:c>
      <x:c r="E13" s="28" t="str">
        <x:v>Participating schools</x:v>
      </x:c>
      <x:c r="F13" s="28" t="str">
        <x:v>Before school agreements</x:v>
      </x:c>
      <x:c r="G13" s="290" t="str">
        <x:v>OPEN</x:v>
      </x:c>
      <x:c r="H13" s="339"/>
      <x:c r="I13" s="339"/>
      <x:c r="J13" s="339"/>
      <x:c r="K13" s="339"/>
      <x:c r="L13" s="339"/>
      <x:c r="M13" s="339"/>
      <x:c r="N13" s="339"/>
      <x:c r="O13" s="339"/>
      <x:c r="P13" s="339"/>
      <x:c r="Q13" s="339"/>
      <x:c r="R13" s="339"/>
      <x:c r="S13" s="339"/>
      <x:c r="T13" s="339"/>
      <x:c r="U13" s="339"/>
      <x:c r="V13" s="339"/>
      <x:c r="W13" s="339"/>
      <x:c r="X13" s="339"/>
      <x:c r="Y13" s="339"/>
      <x:c r="Z13" s="339"/>
    </x:row>
    <x:row r="14">
      <x:c r="A14" s="288" t="str">
        <x:v>High</x:v>
      </x:c>
      <x:c r="B14" s="28" t="str">
        <x:v>Cultural co-design cost and decision rights</x:v>
      </x:c>
      <x:c r="C14" s="28" t="str">
        <x:v>Partner-led allowances</x:v>
      </x:c>
      <x:c r="D14" s="28" t="str">
        <x:v>Budgets and governance agreements developed with iwi, Pacific, youth and disability partners</x:v>
      </x:c>
      <x:c r="E14" s="28" t="str">
        <x:v>Named partners</x:v>
      </x:c>
      <x:c r="F14" s="28" t="str">
        <x:v>Before final Year 0 budget</x:v>
      </x:c>
      <x:c r="G14" s="290" t="str">
        <x:v>OPEN</x:v>
      </x:c>
      <x:c r="H14" s="339"/>
      <x:c r="I14" s="339"/>
      <x:c r="J14" s="339"/>
      <x:c r="K14" s="339"/>
      <x:c r="L14" s="339"/>
      <x:c r="M14" s="339"/>
      <x:c r="N14" s="339"/>
      <x:c r="O14" s="339"/>
      <x:c r="P14" s="339"/>
      <x:c r="Q14" s="339"/>
      <x:c r="R14" s="339"/>
      <x:c r="S14" s="339"/>
      <x:c r="T14" s="339"/>
      <x:c r="U14" s="339"/>
      <x:c r="V14" s="339"/>
      <x:c r="W14" s="339"/>
      <x:c r="X14" s="339"/>
      <x:c r="Y14" s="339"/>
      <x:c r="Z14" s="339"/>
    </x:row>
    <x:row r="15">
      <x:c r="A15" s="288" t="str">
        <x:v>High</x:v>
      </x:c>
      <x:c r="B15" s="28" t="str">
        <x:v>Police vetting numbers and future fee</x:v>
      </x:c>
      <x:c r="C15" s="28" t="str">
        <x:v>300–400 pilot checks at current fee</x:v>
      </x:c>
      <x:c r="D15" s="28" t="str">
        <x:v>Mentor model, authorised-agency status and confirmed 2027 fee</x:v>
      </x:c>
      <x:c r="E15" s="28" t="str">
        <x:v>Programme safeguarding lead</x:v>
      </x:c>
      <x:c r="F15" s="28" t="str">
        <x:v>Before mentor recruitment</x:v>
      </x:c>
      <x:c r="G15" s="290" t="str">
        <x:v>OPEN</x:v>
      </x:c>
      <x:c r="H15" s="339"/>
      <x:c r="I15" s="339"/>
      <x:c r="J15" s="339"/>
      <x:c r="K15" s="339"/>
      <x:c r="L15" s="339"/>
      <x:c r="M15" s="339"/>
      <x:c r="N15" s="339"/>
      <x:c r="O15" s="339"/>
      <x:c r="P15" s="339"/>
      <x:c r="Q15" s="339"/>
      <x:c r="R15" s="339"/>
      <x:c r="S15" s="339"/>
      <x:c r="T15" s="339"/>
      <x:c r="U15" s="339"/>
      <x:c r="V15" s="339"/>
      <x:c r="W15" s="339"/>
      <x:c r="X15" s="339"/>
      <x:c r="Y15" s="339"/>
      <x:c r="Z15" s="339"/>
    </x:row>
    <x:row r="16">
      <x:c r="A16" s="288" t="str">
        <x:v>High</x:v>
      </x:c>
      <x:c r="B16" s="28" t="str">
        <x:v>National school count and rollout sequence</x:v>
      </x:c>
      <x:c r="C16" s="28" t="str">
        <x:v>500-school proxy and 5-year ramp</x:v>
      </x:c>
      <x:c r="D16" s="28" t="str">
        <x:v>Exact eligible school count, regional capacity and implementation schedule</x:v>
      </x:c>
      <x:c r="E16" s="28" t="str">
        <x:v>Ministry of Education / Cabinet</x:v>
      </x:c>
      <x:c r="F16" s="28" t="str">
        <x:v>Before scale decision</x:v>
      </x:c>
      <x:c r="G16" s="290" t="str">
        <x:v>OPEN</x:v>
      </x:c>
      <x:c r="H16" s="339"/>
      <x:c r="I16" s="339"/>
      <x:c r="J16" s="339"/>
      <x:c r="K16" s="339"/>
      <x:c r="L16" s="339"/>
      <x:c r="M16" s="339"/>
      <x:c r="N16" s="339"/>
      <x:c r="O16" s="339"/>
      <x:c r="P16" s="339"/>
      <x:c r="Q16" s="339"/>
      <x:c r="R16" s="339"/>
      <x:c r="S16" s="339"/>
      <x:c r="T16" s="339"/>
      <x:c r="U16" s="339"/>
      <x:c r="V16" s="339"/>
      <x:c r="W16" s="339"/>
      <x:c r="X16" s="339"/>
      <x:c r="Y16" s="339"/>
      <x:c r="Z16" s="339"/>
    </x:row>
    <x:row r="17">
      <x:c r="A17" s="288" t="str">
        <x:v>High</x:v>
      </x:c>
      <x:c r="B17" s="28" t="str">
        <x:v>Pacheco &amp; Dye lifetime multiplier</x:v>
      </x:c>
      <x:c r="C17" s="28" t="str">
        <x:v>9.6 UK multiplier retained only for sensitivity</x:v>
      </x:c>
      <x:c r="D17" s="28" t="str">
        <x:v>NZ-specific longitudinal fiscal/earnings model or Treasury-approved alternative</x:v>
      </x:c>
      <x:c r="E17" s="28" t="str">
        <x:v>Treasury / independent economists</x:v>
      </x:c>
      <x:c r="F17" s="28" t="str">
        <x:v>Before any self-funding claim</x:v>
      </x:c>
      <x:c r="G17" s="290" t="str">
        <x:v>OPEN</x:v>
      </x:c>
      <x:c r="H17" s="339"/>
      <x:c r="I17" s="339"/>
      <x:c r="J17" s="339"/>
      <x:c r="K17" s="339"/>
      <x:c r="L17" s="339"/>
      <x:c r="M17" s="339"/>
      <x:c r="N17" s="339"/>
      <x:c r="O17" s="339"/>
      <x:c r="P17" s="339"/>
      <x:c r="Q17" s="339"/>
      <x:c r="R17" s="339"/>
      <x:c r="S17" s="339"/>
      <x:c r="T17" s="339"/>
      <x:c r="U17" s="339"/>
      <x:c r="V17" s="339"/>
      <x:c r="W17" s="339"/>
      <x:c r="X17" s="339"/>
      <x:c r="Y17" s="339"/>
      <x:c r="Z17" s="339"/>
    </x:row>
    <x:row r="18">
      <x:c r="A18" s="288" t="str">
        <x:v>High</x:v>
      </x:c>
      <x:c r="B18" s="28" t="str">
        <x:v>Pacheco &amp; Dye lifetime multiplier</x:v>
      </x:c>
      <x:c r="C18" s="28" t="str">
        <x:v>9.6 international multiplier retained only for sensitivity</x:v>
      </x:c>
      <x:c r="D18" s="28" t="str">
        <x:v>New Zealand-specific longitudinal fiscal and earnings model or Treasury-approved alternative</x:v>
      </x:c>
      <x:c r="E18" s="28" t="str">
        <x:v>Evaluator / Treasury / justice &amp; health agencies</x:v>
      </x:c>
      <x:c r="F18" s="28" t="str">
        <x:v>Before including benefits</x:v>
      </x:c>
      <x:c r="G18" s="290" t="str">
        <x:v>OPEN</x:v>
      </x:c>
      <x:c r="H18" s="339"/>
      <x:c r="I18" s="339"/>
      <x:c r="J18" s="339"/>
      <x:c r="K18" s="339"/>
      <x:c r="L18" s="339"/>
      <x:c r="M18" s="339"/>
      <x:c r="N18" s="339"/>
      <x:c r="O18" s="339"/>
      <x:c r="P18" s="339"/>
      <x:c r="Q18" s="339"/>
      <x:c r="R18" s="339"/>
      <x:c r="S18" s="339"/>
      <x:c r="T18" s="339"/>
      <x:c r="U18" s="339"/>
      <x:c r="V18" s="339"/>
      <x:c r="W18" s="339"/>
      <x:c r="X18" s="339"/>
      <x:c r="Y18" s="339"/>
      <x:c r="Z18" s="339"/>
    </x:row>
    <x:row r="19">
      <x:c r="A19" s="288" t="str">
        <x:v>High</x:v>
      </x:c>
      <x:c r="B19" s="28" t="str">
        <x:v>Inflation uplift</x:v>
      </x:c>
      <x:c r="C19" s="28" t="str">
        <x:v>1.39 central planning factor</x:v>
      </x:c>
      <x:c r="D19" s="28" t="str">
        <x:v>RBNZ calculator screenshot/output on final model date</x:v>
      </x:c>
      <x:c r="E19" s="28" t="str">
        <x:v>Finance lead</x:v>
      </x:c>
      <x:c r="F19" s="28" t="str">
        <x:v>Before publication</x:v>
      </x:c>
      <x:c r="G19" s="290" t="str">
        <x:v>OPEN</x:v>
      </x:c>
      <x:c r="H19" s="339"/>
      <x:c r="I19" s="339"/>
      <x:c r="J19" s="339"/>
      <x:c r="K19" s="339"/>
      <x:c r="L19" s="339"/>
      <x:c r="M19" s="339"/>
      <x:c r="N19" s="339"/>
      <x:c r="O19" s="339"/>
      <x:c r="P19" s="339"/>
      <x:c r="Q19" s="339"/>
      <x:c r="R19" s="339"/>
      <x:c r="S19" s="339"/>
      <x:c r="T19" s="339"/>
      <x:c r="U19" s="339"/>
      <x:c r="V19" s="339"/>
      <x:c r="W19" s="339"/>
      <x:c r="X19" s="339"/>
      <x:c r="Y19" s="339"/>
      <x:c r="Z19" s="339"/>
    </x:row>
    <x:row r="20">
      <x:c r="A20" s="288" t="str">
        <x:v>Medium</x:v>
      </x:c>
      <x:c r="B20" s="28" t="str">
        <x:v>GST and accounting treatment</x:v>
      </x:c>
      <x:c r="C20" s="28" t="str">
        <x:v>Not separately modelled</x:v>
      </x:c>
      <x:c r="D20" s="28" t="str">
        <x:v>Confirm whether budgets are GST-exclusive and treatment of locked accounts/liabilities</x:v>
      </x:c>
      <x:c r="E20" s="28" t="str">
        <x:v>Finance lead / Treasury</x:v>
      </x:c>
      <x:c r="F20" s="28" t="str">
        <x:v>Year 0 business case</x:v>
      </x:c>
      <x:c r="G20" s="290" t="str">
        <x:v>OPEN</x:v>
      </x:c>
      <x:c r="H20" s="339"/>
      <x:c r="I20" s="339"/>
      <x:c r="J20" s="339"/>
      <x:c r="K20" s="339"/>
      <x:c r="L20" s="339"/>
      <x:c r="M20" s="339"/>
      <x:c r="N20" s="339"/>
      <x:c r="O20" s="339"/>
      <x:c r="P20" s="339"/>
      <x:c r="Q20" s="339"/>
      <x:c r="R20" s="339"/>
      <x:c r="S20" s="339"/>
      <x:c r="T20" s="339"/>
      <x:c r="U20" s="339"/>
      <x:c r="V20" s="339"/>
      <x:c r="W20" s="339"/>
      <x:c r="X20" s="339"/>
      <x:c r="Y20" s="339"/>
      <x:c r="Z20" s="339"/>
    </x:row>
    <x:row r="21">
      <x:c r="A21" s="288" t="str">
        <x:v>Medium</x:v>
      </x:c>
      <x:c r="B21" s="28" t="str">
        <x:v>Contingency and risk valuation</x:v>
      </x:c>
      <x:c r="C21" s="28" t="str">
        <x:v>Percentage allowances</x:v>
      </x:c>
      <x:c r="D21" s="28" t="str">
        <x:v>Quantified risk register / Monte Carlo or Treasury-approved risk method</x:v>
      </x:c>
      <x:c r="E21" s="28" t="str">
        <x:v>Finance/commercial lead</x:v>
      </x:c>
      <x:c r="F21" s="28" t="str">
        <x:v>Before funding approval</x:v>
      </x:c>
      <x:c r="G21" s="290" t="str">
        <x:v>OPEN</x:v>
      </x:c>
      <x:c r="H21" s="339"/>
      <x:c r="I21" s="339"/>
      <x:c r="J21" s="339"/>
      <x:c r="K21" s="339"/>
      <x:c r="L21" s="339"/>
      <x:c r="M21" s="339"/>
      <x:c r="N21" s="339"/>
      <x:c r="O21" s="339"/>
      <x:c r="P21" s="339"/>
      <x:c r="Q21" s="339"/>
      <x:c r="R21" s="339"/>
      <x:c r="S21" s="339"/>
      <x:c r="T21" s="339"/>
      <x:c r="U21" s="339"/>
      <x:c r="V21" s="339"/>
      <x:c r="W21" s="339"/>
      <x:c r="X21" s="339"/>
      <x:c r="Y21" s="339"/>
      <x:c r="Z21" s="339"/>
    </x:row>
    <x:row r="22">
      <x:c r="A22" s="288" t="str">
        <x:v>Medium</x:v>
      </x:c>
      <x:c r="B22" s="28" t="str">
        <x:v>Governance fees</x:v>
      </x:c>
      <x:c r="C22" s="28" t="str">
        <x:v>$250k pilot allowance</x:v>
      </x:c>
      <x:c r="D22" s="28" t="str">
        <x:v>Cabinet Fees Framework classification, days, travel and secretariat workload</x:v>
      </x:c>
      <x:c r="E22" s="28" t="str">
        <x:v>Responsible Minister / agency</x:v>
      </x:c>
      <x:c r="F22" s="28" t="str">
        <x:v>Before appointments</x:v>
      </x:c>
      <x:c r="G22" s="290" t="str">
        <x:v>OPEN</x:v>
      </x:c>
      <x:c r="H22" s="339"/>
      <x:c r="I22" s="339"/>
      <x:c r="J22" s="339"/>
      <x:c r="K22" s="339"/>
      <x:c r="L22" s="339"/>
      <x:c r="M22" s="339"/>
      <x:c r="N22" s="339"/>
      <x:c r="O22" s="339"/>
      <x:c r="P22" s="339"/>
      <x:c r="Q22" s="339"/>
      <x:c r="R22" s="339"/>
      <x:c r="S22" s="339"/>
      <x:c r="T22" s="339"/>
      <x:c r="U22" s="339"/>
      <x:c r="V22" s="339"/>
      <x:c r="W22" s="339"/>
      <x:c r="X22" s="339"/>
      <x:c r="Y22" s="339"/>
      <x:c r="Z22" s="339"/>
    </x:row>
    <x:row r="23">
      <x:c r="A23" s="288" t="str">
        <x:v>Critical</x:v>
      </x:c>
      <x:c r="B23" s="28" t="str">
        <x:v>Legal and beneficial ownership</x:v>
      </x:c>
      <x:c r="C23" s="28" t="str">
        <x:v>No legal form is assumed</x:v>
      </x:c>
      <x:c r="D23" s="28" t="str">
        <x:v>Advice on legal owner, beneficial owner, Crown control, vesting, insolvency protection and participant rights</x:v>
      </x:c>
      <x:c r="E23" s="28" t="str">
        <x:v>Crown legal/accounting lead</x:v>
      </x:c>
      <x:c r="F23" s="28" t="str">
        <x:v>Year 0 business case</x:v>
      </x:c>
      <x:c r="G23" s="684" t="str">
        <x:v>OPEN</x:v>
      </x:c>
      <x:c r="H23" s="339"/>
      <x:c r="I23" s="339"/>
      <x:c r="J23" s="339"/>
      <x:c r="K23" s="339"/>
      <x:c r="L23" s="339"/>
      <x:c r="M23" s="339"/>
      <x:c r="N23" s="339"/>
      <x:c r="O23" s="339"/>
      <x:c r="P23" s="339"/>
      <x:c r="Q23" s="339"/>
      <x:c r="R23" s="339"/>
      <x:c r="S23" s="339"/>
      <x:c r="T23" s="339"/>
      <x:c r="U23" s="339"/>
      <x:c r="V23" s="339"/>
      <x:c r="W23" s="339"/>
      <x:c r="X23" s="339"/>
      <x:c r="Y23" s="339"/>
      <x:c r="Z23" s="339"/>
    </x:row>
    <x:row r="24">
      <x:c r="A24" s="288" t="str">
        <x:v>Critical</x:v>
      </x:c>
      <x:c r="B24" s="28" t="str">
        <x:v>Public-sector accounting treatment</x:v>
      </x:c>
      <x:c r="C24" s="28" t="str">
        <x:v>Deposits are treated as expenditure in the cost model</x:v>
      </x:c>
      <x:c r="D24" s="28" t="str">
        <x:v>PBE accounting advice on expense, asset, liability, trust and consolidation treatment</x:v>
      </x:c>
      <x:c r="E24" s="28" t="str">
        <x:v>Treasury / agency CFO / external accounting adviser</x:v>
      </x:c>
      <x:c r="F24" s="28" t="str">
        <x:v>Year 0 business case</x:v>
      </x:c>
      <x:c r="G24" s="684" t="str">
        <x:v>OPEN</x:v>
      </x:c>
      <x:c r="H24" s="339"/>
      <x:c r="I24" s="339"/>
      <x:c r="J24" s="339"/>
      <x:c r="K24" s="339"/>
      <x:c r="L24" s="339"/>
      <x:c r="M24" s="339"/>
      <x:c r="N24" s="339"/>
      <x:c r="O24" s="339"/>
      <x:c r="P24" s="339"/>
      <x:c r="Q24" s="339"/>
      <x:c r="R24" s="339"/>
      <x:c r="S24" s="339"/>
      <x:c r="T24" s="339"/>
      <x:c r="U24" s="339"/>
      <x:c r="V24" s="339"/>
      <x:c r="W24" s="339"/>
      <x:c r="X24" s="339"/>
      <x:c r="Y24" s="339"/>
      <x:c r="Z24" s="339"/>
    </x:row>
    <x:row r="25">
      <x:c r="A25" s="288" t="str">
        <x:v>Critical</x:v>
      </x:c>
      <x:c r="B25" s="28" t="str">
        <x:v>Investment mandate and market-loss allocation</x:v>
      </x:c>
      <x:c r="C25" s="28" t="str">
        <x:v>2%, 4% and 6% net returns plus downturn sensitivity</x:v>
      </x:c>
      <x:c r="D25" s="28" t="str">
        <x:v>Statement of investment policy, risk limits, lifecycle de-risking, loss allocation and disclosures</x:v>
      </x:c>
      <x:c r="E25" s="28" t="str">
        <x:v>Investment governance body</x:v>
      </x:c>
      <x:c r="F25" s="28" t="str">
        <x:v>Before provider procurement</x:v>
      </x:c>
      <x:c r="G25" s="684" t="str">
        <x:v>OPEN</x:v>
      </x:c>
      <x:c r="H25" s="339"/>
      <x:c r="I25" s="339"/>
      <x:c r="J25" s="339"/>
      <x:c r="K25" s="339"/>
      <x:c r="L25" s="339"/>
      <x:c r="M25" s="339"/>
      <x:c r="N25" s="339"/>
      <x:c r="O25" s="339"/>
      <x:c r="P25" s="339"/>
      <x:c r="Q25" s="339"/>
      <x:c r="R25" s="339"/>
      <x:c r="S25" s="339"/>
      <x:c r="T25" s="339"/>
      <x:c r="U25" s="339"/>
      <x:c r="V25" s="339"/>
      <x:c r="W25" s="339"/>
      <x:c r="X25" s="339"/>
      <x:c r="Y25" s="339"/>
      <x:c r="Z25" s="339"/>
    </x:row>
    <x:row r="26">
      <x:c r="A26" s="288" t="str">
        <x:v>Critical</x:v>
      </x:c>
      <x:c r="B26" s="28" t="str">
        <x:v>Provider, supervisor and custodian procurement</x:v>
      </x:c>
      <x:c r="C26" s="28" t="str">
        <x:v>No provider is endorsed</x:v>
      </x:c>
      <x:c r="D26" s="28" t="str">
        <x:v>Competitive regulated-provider procurement, custody, reporting, fee tiers and exit arrangements</x:v>
      </x:c>
      <x:c r="E26" s="28" t="str">
        <x:v>Commercial lead / FMA-informed legal adviser</x:v>
      </x:c>
      <x:c r="F26" s="28" t="str">
        <x:v>Before pilot contracting</x:v>
      </x:c>
      <x:c r="G26" s="684" t="str">
        <x:v>OPEN</x:v>
      </x:c>
      <x:c r="H26" s="339"/>
      <x:c r="I26" s="339"/>
      <x:c r="J26" s="339"/>
      <x:c r="K26" s="339"/>
      <x:c r="L26" s="339"/>
      <x:c r="M26" s="339"/>
      <x:c r="N26" s="339"/>
      <x:c r="O26" s="339"/>
      <x:c r="P26" s="339"/>
      <x:c r="Q26" s="339"/>
      <x:c r="R26" s="339"/>
      <x:c r="S26" s="339"/>
      <x:c r="T26" s="339"/>
      <x:c r="U26" s="339"/>
      <x:c r="V26" s="339"/>
      <x:c r="W26" s="339"/>
      <x:c r="X26" s="339"/>
      <x:c r="Y26" s="339"/>
      <x:c r="Z26" s="339"/>
    </x:row>
    <x:row r="27">
      <x:c r="A27" s="288" t="str">
        <x:v>Critical</x:v>
      </x:c>
      <x:c r="B27" s="28" t="str">
        <x:v>Investment fees and tax</x:v>
      </x:c>
      <x:c r="C27" s="28" t="str">
        <x:v>Scenario fee and effective tax drag</x:v>
      </x:c>
      <x:c r="D27" s="28" t="str">
        <x:v>Provider quotes and IRD/legal advice for the chosen ownership structure</x:v>
      </x:c>
      <x:c r="E27" s="28" t="str">
        <x:v>Tax and commercial advisers</x:v>
      </x:c>
      <x:c r="F27" s="28" t="str">
        <x:v>Year 0 business case</x:v>
      </x:c>
      <x:c r="G27" s="684" t="str">
        <x:v>OPEN</x:v>
      </x:c>
      <x:c r="H27" s="339"/>
      <x:c r="I27" s="339"/>
      <x:c r="J27" s="339"/>
      <x:c r="K27" s="339"/>
      <x:c r="L27" s="339"/>
      <x:c r="M27" s="339"/>
      <x:c r="N27" s="339"/>
      <x:c r="O27" s="339"/>
      <x:c r="P27" s="339"/>
      <x:c r="Q27" s="339"/>
      <x:c r="R27" s="339"/>
      <x:c r="S27" s="339"/>
      <x:c r="T27" s="339"/>
      <x:c r="U27" s="339"/>
      <x:c r="V27" s="339"/>
      <x:c r="W27" s="339"/>
      <x:c r="X27" s="339"/>
      <x:c r="Y27" s="339"/>
      <x:c r="Z27" s="339"/>
    </x:row>
    <x:row r="28">
      <x:c r="A28" s="288" t="str">
        <x:v>Critical</x:v>
      </x:c>
      <x:c r="B28" s="28" t="str">
        <x:v>Student-loan displacement</x:v>
      </x:c>
      <x:c r="C28" s="28" t="str">
        <x:v>Expected borrowing probability and displacement factor are unsupported</x:v>
      </x:c>
      <x:c r="D28" s="28" t="str">
        <x:v>Linked-data baseline and participant-level counterfactual evaluation</x:v>
      </x:c>
      <x:c r="E28" s="28" t="str">
        <x:v>Independent evaluator / MSD / IR</x:v>
      </x:c>
      <x:c r="F28" s="28" t="str">
        <x:v>Before fiscal-offset claim</x:v>
      </x:c>
      <x:c r="G28" s="684" t="str">
        <x:v>OPEN</x:v>
      </x:c>
      <x:c r="H28" s="339"/>
      <x:c r="I28" s="339"/>
      <x:c r="J28" s="339"/>
      <x:c r="K28" s="339"/>
      <x:c r="L28" s="339"/>
      <x:c r="M28" s="339"/>
      <x:c r="N28" s="339"/>
      <x:c r="O28" s="339"/>
      <x:c r="P28" s="339"/>
      <x:c r="Q28" s="339"/>
      <x:c r="R28" s="339"/>
      <x:c r="S28" s="339"/>
      <x:c r="T28" s="339"/>
      <x:c r="U28" s="339"/>
      <x:c r="V28" s="339"/>
      <x:c r="W28" s="339"/>
      <x:c r="X28" s="339"/>
      <x:c r="Y28" s="339"/>
      <x:c r="Z28" s="339"/>
    </x:row>
    <x:row r="29">
      <x:c r="A29" s="288" t="str">
        <x:v>Critical</x:v>
      </x:c>
      <x:c r="B29" s="28" t="str">
        <x:v>Student-loan fair-value methodology</x:v>
      </x:c>
      <x:c r="C29" s="28" t="str">
        <x:v>Official 34.24% rate used centrally</x:v>
      </x:c>
      <x:c r="D29" s="28" t="str">
        <x:v>Actuarial confirmation that the avoided-lending application is valid for the participant mix and timing</x:v>
      </x:c>
      <x:c r="E29" s="28" t="str">
        <x:v>Ministry of Education / Treasury / external actuary</x:v>
      </x:c>
      <x:c r="F29" s="28" t="str">
        <x:v>Before pilot business case sign-off</x:v>
      </x:c>
      <x:c r="G29" s="684" t="str">
        <x:v>OPEN</x:v>
      </x:c>
      <x:c r="H29" s="339"/>
      <x:c r="I29" s="339"/>
      <x:c r="J29" s="339"/>
      <x:c r="K29" s="339"/>
      <x:c r="L29" s="339"/>
      <x:c r="M29" s="339"/>
      <x:c r="N29" s="339"/>
      <x:c r="O29" s="339"/>
      <x:c r="P29" s="339"/>
      <x:c r="Q29" s="339"/>
      <x:c r="R29" s="339"/>
      <x:c r="S29" s="339"/>
      <x:c r="T29" s="339"/>
      <x:c r="U29" s="339"/>
      <x:c r="V29" s="339"/>
      <x:c r="W29" s="339"/>
      <x:c r="X29" s="339"/>
      <x:c r="Y29" s="339"/>
      <x:c r="Z29" s="339"/>
    </x:row>
    <x:row r="30">
      <x:c r="A30" s="288" t="str">
        <x:v>High</x:v>
      </x:c>
      <x:c r="B30" s="28" t="str">
        <x:v>Inflation and discount curves</x:v>
      </x:c>
      <x:c r="C30" s="28" t="str">
        <x:v>30 June 2026 Treasury curves used</x:v>
      </x:c>
      <x:c r="D30" s="28" t="str">
        <x:v>Confirm auditor status and refresh at valuation date</x:v>
      </x:c>
      <x:c r="E30" s="28" t="str">
        <x:v>Finance lead / Treasury</x:v>
      </x:c>
      <x:c r="F30" s="28" t="str">
        <x:v>Before publication and each funding gate</x:v>
      </x:c>
      <x:c r="G30" s="684" t="str">
        <x:v>OPEN</x:v>
      </x:c>
      <x:c r="H30" s="339"/>
      <x:c r="I30" s="339"/>
      <x:c r="J30" s="339"/>
      <x:c r="K30" s="339"/>
      <x:c r="L30" s="339"/>
      <x:c r="M30" s="339"/>
      <x:c r="N30" s="339"/>
      <x:c r="O30" s="339"/>
      <x:c r="P30" s="339"/>
      <x:c r="Q30" s="339"/>
      <x:c r="R30" s="339"/>
      <x:c r="S30" s="339"/>
      <x:c r="T30" s="339"/>
      <x:c r="U30" s="339"/>
      <x:c r="V30" s="339"/>
      <x:c r="W30" s="339"/>
      <x:c r="X30" s="339"/>
      <x:c r="Y30" s="339"/>
      <x:c r="Z30" s="339"/>
    </x:row>
    <x:row r="31">
      <x:c r="A31" s="288" t="str">
        <x:v>High</x:v>
      </x:c>
      <x:c r="B31" s="28" t="str">
        <x:v>Repayment timing and overseas-borrower mix</x:v>
      </x:c>
      <x:c r="C31" s="28" t="str">
        <x:v>Official benchmarks plus scenario assumptions</x:v>
      </x:c>
      <x:c r="D31" s="28" t="str">
        <x:v>Target-cohort repayment distribution and migration/overseas-borrower evidence</x:v>
      </x:c>
      <x:c r="E31" s="28" t="str">
        <x:v>Independent evaluator / IR</x:v>
      </x:c>
      <x:c r="F31" s="28" t="str">
        <x:v>Before long-run offset claim</x:v>
      </x:c>
      <x:c r="G31" s="684" t="str">
        <x:v>OPEN</x:v>
      </x:c>
      <x:c r="H31" s="339"/>
      <x:c r="I31" s="339"/>
      <x:c r="J31" s="339"/>
      <x:c r="K31" s="339"/>
      <x:c r="L31" s="339"/>
      <x:c r="M31" s="339"/>
      <x:c r="N31" s="339"/>
      <x:c r="O31" s="339"/>
      <x:c r="P31" s="339"/>
      <x:c r="Q31" s="339"/>
      <x:c r="R31" s="339"/>
      <x:c r="S31" s="339"/>
      <x:c r="T31" s="339"/>
      <x:c r="U31" s="339"/>
      <x:c r="V31" s="339"/>
      <x:c r="W31" s="339"/>
      <x:c r="X31" s="339"/>
      <x:c r="Y31" s="339"/>
      <x:c r="Z31" s="339"/>
    </x:row>
    <x:row r="32">
      <x:c r="A32" s="288" t="str">
        <x:v>High</x:v>
      </x:c>
      <x:c r="B32" s="28" t="str">
        <x:v>Account utilisation and withdrawal timing</x:v>
      </x:c>
      <x:c r="C32" s="28" t="str">
        <x:v>80% central utilisation and staged schedules</x:v>
      </x:c>
      <x:c r="D32" s="28" t="str">
        <x:v>Pilot transaction data by tertiary, apprenticeship, licence, tools and microcredential use</x:v>
      </x:c>
      <x:c r="E32" s="28" t="str">
        <x:v>Programme operator / evaluator</x:v>
      </x:c>
      <x:c r="F32" s="28" t="str">
        <x:v>Pilot evaluation</x:v>
      </x:c>
      <x:c r="G32" s="684" t="str">
        <x:v>OPEN</x:v>
      </x:c>
      <x:c r="H32" s="339"/>
      <x:c r="I32" s="339"/>
      <x:c r="J32" s="339"/>
      <x:c r="K32" s="339"/>
      <x:c r="L32" s="339"/>
      <x:c r="M32" s="339"/>
      <x:c r="N32" s="339"/>
      <x:c r="O32" s="339"/>
      <x:c r="P32" s="339"/>
      <x:c r="Q32" s="339"/>
      <x:c r="R32" s="339"/>
      <x:c r="S32" s="339"/>
      <x:c r="T32" s="339"/>
      <x:c r="U32" s="339"/>
      <x:c r="V32" s="339"/>
      <x:c r="W32" s="339"/>
      <x:c r="X32" s="339"/>
      <x:c r="Y32" s="339"/>
      <x:c r="Z32" s="339"/>
    </x:row>
    <x:row r="33">
      <x:c r="A33" s="288" t="str">
        <x:v>High</x:v>
      </x:c>
      <x:c r="B33" s="28" t="str">
        <x:v>Incremental tertiary-system cost</x:v>
      </x:c>
      <x:c r="C33" s="28" t="str">
        <x:v>$8,000 central induced-participant allowance</x:v>
      </x:c>
      <x:c r="D33" s="28" t="str">
        <x:v>Pathway-specific tuition subsidy, provider and apprenticeship funding effects</x:v>
      </x:c>
      <x:c r="E33" s="28" t="str">
        <x:v>TEC / Ministry of Education</x:v>
      </x:c>
      <x:c r="F33" s="28" t="str">
        <x:v>Before net Crown offset claim</x:v>
      </x:c>
      <x:c r="G33" s="684" t="str">
        <x:v>OPEN</x:v>
      </x:c>
      <x:c r="H33" s="339"/>
      <x:c r="I33" s="339"/>
      <x:c r="J33" s="339"/>
      <x:c r="K33" s="339"/>
      <x:c r="L33" s="339"/>
      <x:c r="M33" s="339"/>
      <x:c r="N33" s="339"/>
      <x:c r="O33" s="339"/>
      <x:c r="P33" s="339"/>
      <x:c r="Q33" s="339"/>
      <x:c r="R33" s="339"/>
      <x:c r="S33" s="339"/>
      <x:c r="T33" s="339"/>
      <x:c r="U33" s="339"/>
      <x:c r="V33" s="339"/>
      <x:c r="W33" s="339"/>
      <x:c r="X33" s="339"/>
      <x:c r="Y33" s="339"/>
      <x:c r="Z33" s="339"/>
    </x:row>
    <x:row r="34">
      <x:c r="A34" s="288" t="str">
        <x:v>High</x:v>
      </x:c>
      <x:c r="B34" s="28" t="str">
        <x:v>Double-counting assurance</x:v>
      </x:c>
      <x:c r="C34" s="28" t="str">
        <x:v>Overlap matrix controls central outputs</x:v>
      </x:c>
      <x:c r="D34" s="28" t="str">
        <x:v>Independent economic review across account, debt, lending, earnings, tax, benefits, health and justice</x:v>
      </x:c>
      <x:c r="E34" s="28" t="str">
        <x:v>Treasury / independent economist</x:v>
      </x:c>
      <x:c r="F34" s="28" t="str">
        <x:v>Before public BCR claim</x:v>
      </x:c>
      <x:c r="G34" s="684" t="str">
        <x:v>OPEN</x:v>
      </x:c>
      <x:c r="H34" s="339"/>
      <x:c r="I34" s="339"/>
      <x:c r="J34" s="339"/>
      <x:c r="K34" s="339"/>
      <x:c r="L34" s="339"/>
      <x:c r="M34" s="339"/>
      <x:c r="N34" s="339"/>
      <x:c r="O34" s="339"/>
      <x:c r="P34" s="339"/>
      <x:c r="Q34" s="339"/>
      <x:c r="R34" s="339"/>
      <x:c r="S34" s="339"/>
      <x:c r="T34" s="339"/>
      <x:c r="U34" s="339"/>
      <x:c r="V34" s="339"/>
      <x:c r="W34" s="339"/>
      <x:c r="X34" s="339"/>
      <x:c r="Y34" s="339"/>
      <x:c r="Z34" s="339"/>
    </x:row>
    <x:row r="35">
      <x:c r="A35" s="288" t="str">
        <x:v>High</x:v>
      </x:c>
      <x:c r="B35" s="28" t="str">
        <x:v>Marginal Corrections cost</x:v>
      </x:c>
      <x:c r="C35" s="28" t="str">
        <x:v>Cashable rate set to zero</x:v>
      </x:c>
      <x:c r="D35" s="28" t="str">
        <x:v>Capacity-adjusted marginal cost and timing evidence</x:v>
      </x:c>
      <x:c r="E35" s="28" t="str">
        <x:v>Corrections / Treasury</x:v>
      </x:c>
      <x:c r="F35" s="28" t="str">
        <x:v>Before any cash-saving claim</x:v>
      </x:c>
      <x:c r="G35" s="684" t="str">
        <x:v>OPEN</x:v>
      </x:c>
      <x:c r="H35" s="339"/>
      <x:c r="I35" s="339"/>
      <x:c r="J35" s="339"/>
      <x:c r="K35" s="339"/>
      <x:c r="L35" s="339"/>
      <x:c r="M35" s="339"/>
      <x:c r="N35" s="339"/>
      <x:c r="O35" s="339"/>
      <x:c r="P35" s="339"/>
      <x:c r="Q35" s="339"/>
      <x:c r="R35" s="339"/>
      <x:c r="S35" s="339"/>
      <x:c r="T35" s="339"/>
      <x:c r="U35" s="339"/>
      <x:c r="V35" s="339"/>
      <x:c r="W35" s="339"/>
      <x:c r="X35" s="339"/>
      <x:c r="Y35" s="339"/>
      <x:c r="Z35" s="339"/>
    </x:row>
    <x:row r="36">
      <x:c r="A36" s="288" t="str">
        <x:v>High</x:v>
      </x:c>
      <x:c r="B36" s="28" t="str">
        <x:v>Justice attribution and offence mix</x:v>
      </x:c>
      <x:c r="C36" s="28" t="str">
        <x:v>0% headline; 0.5%, 1%, 2% sensitivity</x:v>
      </x:c>
      <x:c r="D36" s="28" t="str">
        <x:v>Linked-data causal estimate, offence mix, victims, attribution and overlap adjustment</x:v>
      </x:c>
      <x:c r="E36" s="28" t="str">
        <x:v>Independent evaluator / justice agencies</x:v>
      </x:c>
      <x:c r="F36" s="28" t="str">
        <x:v>Before inclusion in BCR</x:v>
      </x:c>
      <x:c r="G36" s="684" t="str">
        <x:v>OPEN</x:v>
      </x:c>
      <x:c r="H36" s="339"/>
      <x:c r="I36" s="339"/>
      <x:c r="J36" s="339"/>
      <x:c r="K36" s="339"/>
      <x:c r="L36" s="339"/>
      <x:c r="M36" s="339"/>
      <x:c r="N36" s="339"/>
      <x:c r="O36" s="339"/>
      <x:c r="P36" s="339"/>
      <x:c r="Q36" s="339"/>
      <x:c r="R36" s="339"/>
      <x:c r="S36" s="339"/>
      <x:c r="T36" s="339"/>
      <x:c r="U36" s="339"/>
      <x:c r="V36" s="339"/>
      <x:c r="W36" s="339"/>
      <x:c r="X36" s="339"/>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339"/>
      <x:c r="V37" s="339"/>
      <x:c r="W37" s="339"/>
      <x:c r="X37" s="339"/>
      <x:c r="Y37" s="339"/>
      <x:c r="Z37" s="339"/>
    </x:row>
    <x:row r="38">
      <x:c r="A38" s="288" t="str">
        <x:v>Critical</x:v>
      </x:c>
      <x:c r="B38" s="28" t="str">
        <x:v>Whole-cohort causal earnings effect</x:v>
      </x:c>
      <x:c r="C38" s="28" t="str">
        <x:v>0%–5% sensitivity only</x:v>
      </x:c>
      <x:c r="D38" s="28" t="str">
        <x:v>Linked-data estimate of affected share, annual earnings, persistence and distribution</x:v>
      </x:c>
      <x:c r="E38" s="28" t="str">
        <x:v>Independent evaluator / Treasury</x:v>
      </x:c>
      <x:c r="F38" s="28" t="str">
        <x:v>Before any earnings benefit enters a funding case</x:v>
      </x:c>
      <x:c r="G38" s="994" t="str">
        <x:v>OPEN</x:v>
      </x:c>
      <x:c r="H38" s="339"/>
      <x:c r="I38" s="339"/>
      <x:c r="J38" s="339"/>
      <x:c r="K38" s="339"/>
      <x:c r="L38" s="339"/>
      <x:c r="M38" s="339"/>
      <x:c r="N38" s="339"/>
      <x:c r="O38" s="339"/>
      <x:c r="P38" s="339"/>
      <x:c r="Q38" s="339"/>
      <x:c r="R38" s="339"/>
      <x:c r="S38" s="339"/>
      <x:c r="T38" s="339"/>
      <x:c r="U38" s="339"/>
      <x:c r="V38" s="339"/>
      <x:c r="W38" s="339"/>
      <x:c r="X38" s="339"/>
      <x:c r="Y38" s="339"/>
      <x:c r="Z38" s="339"/>
    </x:row>
    <x:row r="39">
      <x:c r="A39" s="288" t="str">
        <x:v>Critical</x:v>
      </x:c>
      <x:c r="B39" s="28" t="str">
        <x:v>Attendance-to-earnings pathway</x:v>
      </x:c>
      <x:c r="C39" s="28" t="str">
        <x:v>Mechanism indicators are not separately monetised</x:v>
      </x:c>
      <x:c r="D39" s="28" t="str">
        <x:v>Pre-registered mediation and outcome model</x:v>
      </x:c>
      <x:c r="E39" s="28" t="str">
        <x:v>Independent evaluator</x:v>
      </x:c>
      <x:c r="F39" s="28" t="str">
        <x:v>Stage 0 evaluation design</x:v>
      </x:c>
      <x:c r="G39" s="994" t="str">
        <x:v>OPEN</x:v>
      </x:c>
      <x:c r="H39" s="339"/>
      <x:c r="I39" s="339"/>
      <x:c r="J39" s="339"/>
      <x:c r="K39" s="339"/>
      <x:c r="L39" s="339"/>
      <x:c r="M39" s="339"/>
      <x:c r="N39" s="339"/>
      <x:c r="O39" s="339"/>
      <x:c r="P39" s="339"/>
      <x:c r="Q39" s="339"/>
      <x:c r="R39" s="339"/>
      <x:c r="S39" s="339"/>
      <x:c r="T39" s="339"/>
      <x:c r="U39" s="339"/>
      <x:c r="V39" s="339"/>
      <x:c r="W39" s="339"/>
      <x:c r="X39" s="339"/>
      <x:c r="Y39" s="339"/>
      <x:c r="Z39" s="339"/>
    </x:row>
    <x:row r="40">
      <x:c r="A40" s="288" t="str">
        <x:v>Critical</x:v>
      </x:c>
      <x:c r="B40" s="28" t="str">
        <x:v>Qualification and completion effects</x:v>
      </x:c>
      <x:c r="C40" s="28" t="str">
        <x:v>Low / central / high programme-effect assumptions</x:v>
      </x:c>
      <x:c r="D40" s="28" t="str">
        <x:v>Causal Level 2, Level 3, vocational, tertiary and apprenticeship estimates</x:v>
      </x:c>
      <x:c r="E40" s="28" t="str">
        <x:v>Independent evaluator / Ministry</x:v>
      </x:c>
      <x:c r="F40" s="28" t="str">
        <x:v>Pilot evaluation</x:v>
      </x:c>
      <x:c r="G40" s="994" t="str">
        <x:v>OPEN</x:v>
      </x:c>
      <x:c r="H40" s="339"/>
      <x:c r="I40" s="339"/>
      <x:c r="J40" s="339"/>
      <x:c r="K40" s="339"/>
      <x:c r="L40" s="339"/>
      <x:c r="M40" s="339"/>
      <x:c r="N40" s="339"/>
      <x:c r="O40" s="339"/>
      <x:c r="P40" s="339"/>
      <x:c r="Q40" s="339"/>
      <x:c r="R40" s="339"/>
      <x:c r="S40" s="339"/>
      <x:c r="T40" s="339"/>
      <x:c r="U40" s="339"/>
      <x:c r="V40" s="339"/>
      <x:c r="W40" s="339"/>
      <x:c r="X40" s="339"/>
      <x:c r="Y40" s="339"/>
      <x:c r="Z40" s="339"/>
    </x:row>
    <x:row r="41">
      <x:c r="A41" s="288" t="str">
        <x:v>Critical</x:v>
      </x:c>
      <x:c r="B41" s="28" t="str">
        <x:v>Tax and ACC model</x:v>
      </x:c>
      <x:c r="C41" s="28" t="str">
        <x:v>Current statutory rates applied</x:v>
      </x:c>
      <x:c r="D41" s="28" t="str">
        <x:v>IRD / Treasury review of incremental tax method and timing</x:v>
      </x:c>
      <x:c r="E41" s="28" t="str">
        <x:v>IRD / Treasury</x:v>
      </x:c>
      <x:c r="F41" s="28" t="str">
        <x:v>Before Crown fiscal claim</x:v>
      </x:c>
      <x:c r="G41" s="994" t="str">
        <x:v>OPEN</x:v>
      </x:c>
      <x:c r="H41" s="339"/>
      <x:c r="I41" s="339"/>
      <x:c r="J41" s="339"/>
      <x:c r="K41" s="339"/>
      <x:c r="L41" s="339"/>
      <x:c r="M41" s="339"/>
      <x:c r="N41" s="339"/>
      <x:c r="O41" s="339"/>
      <x:c r="P41" s="339"/>
      <x:c r="Q41" s="339"/>
      <x:c r="R41" s="339"/>
      <x:c r="S41" s="339"/>
      <x:c r="T41" s="339"/>
      <x:c r="U41" s="339"/>
      <x:c r="V41" s="339"/>
      <x:c r="W41" s="339"/>
      <x:c r="X41" s="339"/>
      <x:c r="Y41" s="339"/>
      <x:c r="Z41" s="339"/>
    </x:row>
    <x:row r="42">
      <x:c r="A42" s="288" t="str">
        <x:v>Critical</x:v>
      </x:c>
      <x:c r="B42" s="28" t="str">
        <x:v>Benefit-receipt reduction</x:v>
      </x:c>
      <x:c r="C42" s="28" t="str">
        <x:v>Broad non-NEET sensitivity only</x:v>
      </x:c>
      <x:c r="D42" s="28" t="str">
        <x:v>Linked MSD counterfactual duration and receipt evidence</x:v>
      </x:c>
      <x:c r="E42" s="28" t="str">
        <x:v>MSD / evaluator</x:v>
      </x:c>
      <x:c r="F42" s="28" t="str">
        <x:v>Before Crown fiscal claim</x:v>
      </x:c>
      <x:c r="G42" s="994" t="str">
        <x:v>OPEN</x:v>
      </x:c>
      <x:c r="H42" s="339"/>
      <x:c r="I42" s="339"/>
      <x:c r="J42" s="339"/>
      <x:c r="K42" s="339"/>
      <x:c r="L42" s="339"/>
      <x:c r="M42" s="339"/>
      <x:c r="N42" s="339"/>
      <x:c r="O42" s="339"/>
      <x:c r="P42" s="339"/>
      <x:c r="Q42" s="339"/>
      <x:c r="R42" s="339"/>
      <x:c r="S42" s="339"/>
      <x:c r="T42" s="339"/>
      <x:c r="U42" s="339"/>
      <x:c r="V42" s="339"/>
      <x:c r="W42" s="339"/>
      <x:c r="X42" s="339"/>
      <x:c r="Y42" s="339"/>
      <x:c r="Z42" s="339"/>
    </x:row>
    <x:row r="43">
      <x:c r="A43" s="288" t="str">
        <x:v>Critical</x:v>
      </x:c>
      <x:c r="B43" s="28" t="str">
        <x:v>Universal core and targeted accelerator costs</x:v>
      </x:c>
      <x:c r="C43" s="28" t="str">
        <x:v>Scenario proportions and unit costs</x:v>
      </x:c>
      <x:c r="D43" s="28" t="str">
        <x:v>Service design, targeting rules, school workload and procurement evidence</x:v>
      </x:c>
      <x:c r="E43" s="28" t="str">
        <x:v>Programme / schools / Treasury</x:v>
      </x:c>
      <x:c r="F43" s="28" t="str">
        <x:v>Stage 0 business case</x:v>
      </x:c>
      <x:c r="G43" s="994" t="str">
        <x:v>OPEN</x:v>
      </x:c>
      <x:c r="H43" s="339"/>
      <x:c r="I43" s="339"/>
      <x:c r="J43" s="339"/>
      <x:c r="K43" s="339"/>
      <x:c r="L43" s="339"/>
      <x:c r="M43" s="339"/>
      <x:c r="N43" s="339"/>
      <x:c r="O43" s="339"/>
      <x:c r="P43" s="339"/>
      <x:c r="Q43" s="339"/>
      <x:c r="R43" s="339"/>
      <x:c r="S43" s="339"/>
      <x:c r="T43" s="339"/>
      <x:c r="U43" s="339"/>
      <x:c r="V43" s="339"/>
      <x:c r="W43" s="339"/>
      <x:c r="X43" s="339"/>
      <x:c r="Y43" s="339"/>
      <x:c r="Z43" s="339"/>
    </x:row>
    <x:row r="44">
      <x:c r="A44" s="288" t="str">
        <x:v>High</x:v>
      </x:c>
      <x:c r="B44" s="28" t="str">
        <x:v>Domestic retention and migration</x:v>
      </x:c>
      <x:c r="C44" s="28" t="str">
        <x:v>90% central scenario</x:v>
      </x:c>
      <x:c r="D44" s="28" t="str">
        <x:v>Longitudinal domestic employment and overseas migration evidence</x:v>
      </x:c>
      <x:c r="E44" s="28" t="str">
        <x:v>Stats NZ / Ministry</x:v>
      </x:c>
      <x:c r="F44" s="28" t="str">
        <x:v>Before long-run tax claim</x:v>
      </x:c>
      <x:c r="G44" s="994" t="str">
        <x:v>OPEN</x:v>
      </x:c>
      <x:c r="H44" s="339"/>
      <x:c r="I44" s="339"/>
      <x:c r="J44" s="339"/>
      <x:c r="K44" s="339"/>
      <x:c r="L44" s="339"/>
      <x:c r="M44" s="339"/>
      <x:c r="N44" s="339"/>
      <x:c r="O44" s="339"/>
      <x:c r="P44" s="339"/>
      <x:c r="Q44" s="339"/>
      <x:c r="R44" s="339"/>
      <x:c r="S44" s="339"/>
      <x:c r="T44" s="339"/>
      <x:c r="U44" s="339"/>
      <x:c r="V44" s="339"/>
      <x:c r="W44" s="339"/>
      <x:c r="X44" s="339"/>
      <x:c r="Y44" s="339"/>
      <x:c r="Z44" s="339"/>
    </x:row>
    <x:row r="45">
      <x:c r="A45" s="288" t="str">
        <x:v>High</x:v>
      </x:c>
      <x:c r="B45" s="28" t="str">
        <x:v>General-equilibrium and occupation oversupply</x:v>
      </x:c>
      <x:c r="C45" s="28" t="str">
        <x:v>5% central haircut</x:v>
      </x:c>
      <x:c r="D45" s="28" t="str">
        <x:v>Independent occupation-demand, wage, vacancy, automation and supply analysis</x:v>
      </x:c>
      <x:c r="E45" s="28" t="str">
        <x:v>MBIE / worker representatives</x:v>
      </x:c>
      <x:c r="F45" s="28" t="str">
        <x:v>Before pathway incentives are scaled</x:v>
      </x:c>
      <x:c r="G45" s="994" t="str">
        <x:v>OPEN</x:v>
      </x:c>
      <x:c r="H45" s="339"/>
      <x:c r="I45" s="339"/>
      <x:c r="J45" s="339"/>
      <x:c r="K45" s="339"/>
      <x:c r="L45" s="339"/>
      <x:c r="M45" s="339"/>
      <x:c r="N45" s="339"/>
      <x:c r="O45" s="339"/>
      <x:c r="P45" s="339"/>
      <x:c r="Q45" s="339"/>
      <x:c r="R45" s="339"/>
      <x:c r="S45" s="339"/>
      <x:c r="T45" s="339"/>
      <x:c r="U45" s="339"/>
      <x:c r="V45" s="339"/>
      <x:c r="W45" s="339"/>
      <x:c r="X45" s="339"/>
      <x:c r="Y45" s="339"/>
      <x:c r="Z45" s="339"/>
    </x:row>
    <x:row r="46">
      <x:c r="A46" s="288" t="str">
        <x:v>High</x:v>
      </x:c>
      <x:c r="B46" s="28" t="str">
        <x:v>Industry co-investment commitments</x:v>
      </x:c>
      <x:c r="C46" s="28" t="str">
        <x:v>Zero central</x:v>
      </x:c>
      <x:c r="D46" s="28" t="str">
        <x:v>Signed pooled funding agreements with independent governance</x:v>
      </x:c>
      <x:c r="E46" s="28" t="str">
        <x:v>Governance / commercial lead</x:v>
      </x:c>
      <x:c r="F46" s="28" t="str">
        <x:v>Before reducing Crown cost</x:v>
      </x:c>
      <x:c r="G46" s="994" t="str">
        <x:v>OPEN</x:v>
      </x:c>
      <x:c r="H46" s="339"/>
      <x:c r="I46" s="339"/>
      <x:c r="J46" s="339"/>
      <x:c r="K46" s="339"/>
      <x:c r="L46" s="339"/>
      <x:c r="M46" s="339"/>
      <x:c r="N46" s="339"/>
      <x:c r="O46" s="339"/>
      <x:c r="P46" s="339"/>
      <x:c r="Q46" s="339"/>
      <x:c r="R46" s="339"/>
      <x:c r="S46" s="339"/>
      <x:c r="T46" s="339"/>
      <x:c r="U46" s="339"/>
      <x:c r="V46" s="339"/>
      <x:c r="W46" s="339"/>
      <x:c r="X46" s="339"/>
      <x:c r="Y46" s="339"/>
      <x:c r="Z46" s="339"/>
    </x:row>
    <x:row r="47">
      <x:c r="A47" s="288" t="str">
        <x:v>High</x:v>
      </x:c>
      <x:c r="B47" s="28" t="str">
        <x:v>Industry capture safeguards</x:v>
      </x:c>
      <x:c r="C47" s="28" t="str">
        <x:v>Policy principles only</x:v>
      </x:c>
      <x:c r="D47" s="28" t="str">
        <x:v>Worker representation, student choice, transferable credentials, published wage and vacancy monitoring</x:v>
      </x:c>
      <x:c r="E47" s="28" t="str">
        <x:v>Governance / legal</x:v>
      </x:c>
      <x:c r="F47" s="28" t="str">
        <x:v>Before accepting industry funds</x:v>
      </x:c>
      <x:c r="G47" s="994" t="str">
        <x:v>OPEN</x:v>
      </x:c>
      <x:c r="H47" s="339"/>
      <x:c r="I47" s="339"/>
      <x:c r="J47" s="339"/>
      <x:c r="K47" s="339"/>
      <x:c r="L47" s="339"/>
      <x:c r="M47" s="339"/>
      <x:c r="N47" s="339"/>
      <x:c r="O47" s="339"/>
      <x:c r="P47" s="339"/>
      <x:c r="Q47" s="339"/>
      <x:c r="R47" s="339"/>
      <x:c r="S47" s="339"/>
      <x:c r="T47" s="339"/>
      <x:c r="U47" s="339"/>
      <x:c r="V47" s="339"/>
      <x:c r="W47" s="339"/>
      <x:c r="X47" s="339"/>
      <x:c r="Y47" s="339"/>
      <x:c r="Z47" s="339"/>
    </x:row>
    <x:row r="48">
      <x:c r="A48" s="288" t="str">
        <x:v>High</x:v>
      </x:c>
      <x:c r="B48" s="28" t="str">
        <x:v>Stage-gate thresholds</x:v>
      </x:c>
      <x:c r="C48" s="28" t="str">
        <x:v>Provisional cost, BCR, equity, workload and gaming thresholds</x:v>
      </x:c>
      <x:c r="D48" s="28" t="str">
        <x:v>Treasury, evaluator and school agreement before pilot data are observed</x:v>
      </x:c>
      <x:c r="E48" s="28" t="str">
        <x:v>Treasury / evaluator / schools</x:v>
      </x:c>
      <x:c r="F48" s="28" t="str">
        <x:v>Before pilot launch</x:v>
      </x:c>
      <x:c r="G48" s="994" t="str">
        <x:v>OPEN</x:v>
      </x:c>
      <x:c r="H48" s="339"/>
      <x:c r="I48" s="339"/>
      <x:c r="J48" s="339"/>
      <x:c r="K48" s="339"/>
      <x:c r="L48" s="339"/>
      <x:c r="M48" s="339"/>
      <x:c r="N48" s="339"/>
      <x:c r="O48" s="339"/>
      <x:c r="P48" s="339"/>
      <x:c r="Q48" s="339"/>
      <x:c r="R48" s="339"/>
      <x:c r="S48" s="339"/>
      <x:c r="T48" s="339"/>
      <x:c r="U48" s="339"/>
      <x:c r="V48" s="339"/>
      <x:c r="W48" s="339"/>
      <x:c r="X48" s="339"/>
      <x:c r="Y48" s="339"/>
      <x:c r="Z48" s="339"/>
    </x:row>
    <x:row r="49">
      <x:c r="A49" s="288" t="str">
        <x:v>High</x:v>
      </x:c>
      <x:c r="B49" s="28" t="str">
        <x:v>Double-counting review</x:v>
      </x:c>
      <x:c r="C49" s="28" t="str">
        <x:v>Averted NEET cases excluded from broad earnings stream</x:v>
      </x:c>
      <x:c r="D49" s="28" t="str">
        <x:v>Independent audit of earnings, tax, benefits, qualification premiums, loans and justice</x:v>
      </x:c>
      <x:c r="E49" s="28" t="str">
        <x:v>Independent economist / Treasury</x:v>
      </x:c>
      <x:c r="F49" s="28" t="str">
        <x:v>Before publication</x:v>
      </x:c>
      <x:c r="G49" s="994" t="str">
        <x:v>OPEN</x:v>
      </x:c>
      <x:c r="H49" s="339"/>
      <x:c r="I49" s="339"/>
      <x:c r="J49" s="339"/>
      <x:c r="K49" s="339"/>
      <x:c r="L49" s="339"/>
      <x:c r="M49" s="339"/>
      <x:c r="N49" s="339"/>
      <x:c r="O49" s="339"/>
      <x:c r="P49" s="339"/>
      <x:c r="Q49" s="339"/>
      <x:c r="R49" s="339"/>
      <x:c r="S49" s="339"/>
      <x:c r="T49" s="339"/>
      <x:c r="U49" s="339"/>
      <x:c r="V49" s="339"/>
      <x:c r="W49" s="339"/>
      <x:c r="X49" s="339"/>
      <x:c r="Y49" s="339"/>
      <x:c r="Z49" s="339"/>
    </x:row>
    <x:row r="50">
      <x:c r="A50" s="339"/>
      <x:c r="B50" s="339"/>
      <x:c r="C50" s="339"/>
      <x:c r="D50" s="339"/>
      <x:c r="E50" s="339"/>
      <x:c r="F50" s="339"/>
      <x:c r="G50" s="339"/>
      <x:c r="H50" s="339"/>
      <x:c r="I50" s="339"/>
      <x:c r="J50" s="339"/>
      <x:c r="K50" s="339"/>
      <x:c r="L50" s="339"/>
      <x:c r="M50" s="339"/>
      <x:c r="N50" s="339"/>
      <x:c r="O50" s="339"/>
      <x:c r="P50" s="339"/>
      <x:c r="Q50" s="339"/>
      <x:c r="R50" s="339"/>
      <x:c r="S50" s="339"/>
      <x:c r="T50" s="339"/>
      <x:c r="U50" s="339"/>
      <x:c r="V50" s="339"/>
      <x:c r="W50" s="339"/>
      <x:c r="X50" s="339"/>
      <x:c r="Y50" s="339"/>
      <x:c r="Z50" s="339"/>
    </x:row>
    <x:row r="51">
      <x:c r="A51" s="339"/>
      <x:c r="B51" s="339"/>
      <x:c r="C51" s="339"/>
      <x:c r="D51" s="339"/>
      <x:c r="E51" s="339"/>
      <x:c r="F51" s="339"/>
      <x:c r="G51" s="339"/>
      <x:c r="H51" s="339"/>
      <x:c r="I51" s="339"/>
      <x:c r="J51" s="339"/>
      <x:c r="K51" s="339"/>
      <x:c r="L51" s="339"/>
      <x:c r="M51" s="339"/>
      <x:c r="N51" s="339"/>
      <x:c r="O51" s="339"/>
      <x:c r="P51" s="339"/>
      <x:c r="Q51" s="339"/>
      <x:c r="R51" s="339"/>
      <x:c r="S51" s="339"/>
      <x:c r="T51" s="339"/>
      <x:c r="U51" s="339"/>
      <x:c r="V51" s="339"/>
      <x:c r="W51" s="339"/>
      <x:c r="X51" s="339"/>
      <x:c r="Y51" s="339"/>
      <x:c r="Z51" s="339"/>
    </x:row>
    <x:row r="52">
      <x:c r="A52" s="339"/>
      <x:c r="B52" s="339"/>
      <x:c r="C52" s="339"/>
      <x:c r="D52" s="339"/>
      <x:c r="E52" s="339"/>
      <x:c r="F52" s="339"/>
      <x:c r="G52" s="339"/>
      <x:c r="H52" s="339"/>
      <x:c r="I52" s="339"/>
      <x:c r="J52" s="339"/>
      <x:c r="K52" s="339"/>
      <x:c r="L52" s="339"/>
      <x:c r="M52" s="339"/>
      <x:c r="N52" s="339"/>
      <x:c r="O52" s="339"/>
      <x:c r="P52" s="339"/>
      <x:c r="Q52" s="339"/>
      <x:c r="R52" s="339"/>
      <x:c r="S52" s="339"/>
      <x:c r="T52" s="339"/>
      <x:c r="U52" s="339"/>
      <x:c r="V52" s="339"/>
      <x:c r="W52" s="339"/>
      <x:c r="X52" s="339"/>
      <x:c r="Y52" s="339"/>
      <x:c r="Z52" s="339"/>
    </x:row>
    <x:row r="53">
      <x:c r="A53" s="339"/>
      <x:c r="B53" s="339"/>
      <x:c r="C53" s="339"/>
      <x:c r="D53" s="339"/>
      <x:c r="E53" s="339"/>
      <x:c r="F53" s="339"/>
      <x:c r="G53" s="339"/>
      <x:c r="H53" s="339"/>
      <x:c r="I53" s="339"/>
      <x:c r="J53" s="339"/>
      <x:c r="K53" s="339"/>
      <x:c r="L53" s="339"/>
      <x:c r="M53" s="339"/>
      <x:c r="N53" s="339"/>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339"/>
      <x:c r="V56" s="339"/>
      <x:c r="W56" s="339"/>
      <x:c r="X56" s="339"/>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339"/>
      <x:c r="V57" s="339"/>
      <x:c r="W57" s="339"/>
      <x:c r="X57" s="339"/>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339"/>
      <x:c r="V58" s="339"/>
      <x:c r="W58" s="339"/>
      <x:c r="X58" s="339"/>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339"/>
      <x:c r="V59" s="339"/>
      <x:c r="W59" s="339"/>
      <x:c r="X59" s="339"/>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339"/>
      <x:c r="V60" s="339"/>
      <x:c r="W60" s="339"/>
      <x:c r="X60" s="339"/>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339"/>
      <x:c r="V61" s="339"/>
      <x:c r="W61" s="339"/>
      <x:c r="X61" s="339"/>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339"/>
      <x:c r="V62" s="339"/>
      <x:c r="W62" s="339"/>
      <x:c r="X62" s="339"/>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339"/>
      <x:c r="V63" s="339"/>
      <x:c r="W63" s="339"/>
      <x:c r="X63" s="339"/>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339"/>
      <x:c r="V66" s="339"/>
      <x:c r="W66" s="339"/>
      <x:c r="X66" s="339"/>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339"/>
      <x:c r="V67" s="339"/>
      <x:c r="W67" s="339"/>
      <x:c r="X67" s="339"/>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339"/>
      <x:c r="V68" s="339"/>
      <x:c r="W68" s="339"/>
      <x:c r="X68" s="339"/>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G1"/>
    <x:mergeCell ref="A2:G2"/>
  </x:mergeCells>
  <x:pageMargins left="0.7" right="0.7" top="0.75" bottom="0.75" header="0.3" footer="0.3"/>
</x:worksheet>
</file>

<file path=xl/worksheets/sheet14.xml><?xml version="1.0" encoding="utf-8"?>
<x:worksheet xmlns:x="http://schemas.openxmlformats.org/spreadsheetml/2006/main">
  <x:sheetFormatPr defaultRowHeight="15"/>
  <x:cols>
    <x:col min="1" max="1" width="45" hidden="0" customWidth="1"/>
    <x:col min="2" max="2" width="18" hidden="0" customWidth="1"/>
    <x:col min="3" max="3" width="18" hidden="0" customWidth="1"/>
    <x:col min="4" max="4" width="18" hidden="0" customWidth="1"/>
    <x:col min="5" max="5" width="20" hidden="0" customWidth="1"/>
    <x:col min="6" max="6" width="20" hidden="0" customWidth="1"/>
    <x:col min="7" max="7" width="16" hidden="0" customWidth="1"/>
    <x:col min="8" max="8" width="16" hidden="0" customWidth="1"/>
    <x:col min="9" max="9" width="16" hidden="0" customWidth="1"/>
    <x:col min="10" max="10" width="16" hidden="0" customWidth="1"/>
    <x:col min="11" max="11" width="18" hidden="0" customWidth="1"/>
    <x:col min="12" max="12" width="18" hidden="0" customWidth="1"/>
    <x:col min="13" max="13" width="18" hidden="0" customWidth="1"/>
  </x:cols>
  <x:sheetData>
    <x:row r="1" ht="30" customHeight="1">
      <x:c r="A1" s="582" t="str">
        <x:v>He Ara Angitū Learning Capital Account — Student, Crown and Social ROI</x:v>
      </x:c>
      <x:c r="B1" s="582"/>
      <x:c r="C1" s="582"/>
      <x:c r="D1" s="582"/>
      <x:c r="E1" s="582"/>
      <x:c r="F1" s="582"/>
      <x:c r="G1" s="582"/>
      <x:c r="H1" s="582"/>
      <x:c r="I1" s="582"/>
      <x:c r="J1" s="582"/>
      <x:c r="K1" s="582"/>
      <x:c r="L1" s="582"/>
      <x:c r="M1" s="582"/>
    </x:row>
    <x:row r="2" ht="28" customHeight="1">
      <x:c r="A2" s="537" t="str">
        <x:v>The account converts half of verified participation payments into protected education capital. The payment split does not reduce programme expenditure.</x:v>
      </x:c>
      <x:c r="B2" s="537" t="str">
        <x:v>The account converts half of verified participation payments into protected education capital. The payment split does not reduce programme expenditure.</x:v>
      </x:c>
      <x:c r="C2" s="537" t="str">
        <x:v>The account converts half of verified participation payments into protected education capital. The payment split does not reduce programme expenditure.</x:v>
      </x:c>
      <x:c r="D2" s="537" t="str">
        <x:v>The account converts half of verified participation payments into protected education capital. The payment split does not reduce programme expenditure.</x:v>
      </x:c>
      <x:c r="E2" s="537" t="str">
        <x:v>The account converts half of verified participation payments into protected education capital. The payment split does not reduce programme expenditure.</x:v>
      </x:c>
      <x:c r="F2" s="537" t="str">
        <x:v>The account converts half of verified participation payments into protected education capital. The payment split does not reduce programme expenditure.</x:v>
      </x:c>
      <x:c r="G2" s="537" t="str">
        <x:v>The account converts half of verified participation payments into protected education capital. The payment split does not reduce programme expenditure.</x:v>
      </x:c>
      <x:c r="H2" s="537" t="str">
        <x:v>The account converts half of verified participation payments into protected education capital. The payment split does not reduce programme expenditure.</x:v>
      </x:c>
      <x:c r="I2" s="537" t="str">
        <x:v>The account converts half of verified participation payments into protected education capital. The payment split does not reduce programme expenditure.</x:v>
      </x:c>
      <x:c r="J2" s="537" t="str">
        <x:v>The account converts half of verified participation payments into protected education capital. The payment split does not reduce programme expenditure.</x:v>
      </x:c>
      <x:c r="K2" s="537" t="str">
        <x:v>The account converts half of verified participation payments into protected education capital. The payment split does not reduce programme expenditure.</x:v>
      </x:c>
      <x:c r="L2" s="537" t="str">
        <x:v>The account converts half of verified participation payments into protected education capital. The payment split does not reduce programme expenditure.</x:v>
      </x:c>
      <x:c r="M2" s="537" t="str">
        <x:v>The account converts half of verified participation payments into protected education capital. The payment split does not reduce programme expenditure.</x:v>
      </x:c>
    </x:row>
    <x:row r="3">
      <x:c r="A3" s="26"/>
      <x:c r="B3" s="26"/>
      <x:c r="C3" s="26"/>
      <x:c r="D3" s="26"/>
      <x:c r="E3" s="26"/>
      <x:c r="F3" s="26"/>
      <x:c r="G3" s="26"/>
      <x:c r="H3" s="26"/>
      <x:c r="I3" s="26"/>
      <x:c r="J3" s="26"/>
      <x:c r="K3" s="26"/>
      <x:c r="L3" s="26"/>
      <x:c r="M3" s="26"/>
    </x:row>
    <x:row r="4" ht="28" customHeight="1">
      <x:c r="A4" s="527" t="str">
        <x:v>Per-participant scenario</x:v>
      </x:c>
      <x:c r="B4" s="527" t="str">
        <x:v>Low participant</x:v>
      </x:c>
      <x:c r="C4" s="527" t="str">
        <x:v>Central average participant</x:v>
      </x:c>
      <x:c r="D4" s="527" t="str">
        <x:v>High participant</x:v>
      </x:c>
      <x:c r="E4" s="527" t="str">
        <x:v>Full-earner illustration</x:v>
      </x:c>
      <x:c r="F4" s="26"/>
      <x:c r="G4" s="26"/>
      <x:c r="H4" s="26"/>
      <x:c r="I4" s="26"/>
      <x:c r="J4" s="26"/>
      <x:c r="K4" s="26"/>
      <x:c r="L4" s="26"/>
      <x:c r="M4" s="26"/>
    </x:row>
    <x:row r="5">
      <x:c r="A5" s="166" t="str">
        <x:v>Maximum weekly payment</x:v>
      </x:c>
      <x:c r="B5" s="167" t="n">
        <x:f>Assumptions!$D$36</x:f>
        <x:v>125</x:v>
      </x:c>
      <x:c r="C5" s="167" t="n">
        <x:f>Assumptions!$E$36</x:f>
        <x:v>150</x:v>
      </x:c>
      <x:c r="D5" s="167" t="n">
        <x:f>Assumptions!$F$36</x:f>
        <x:v>150</x:v>
      </x:c>
      <x:c r="E5" s="198" t="n">
        <x:v>150</x:v>
      </x:c>
      <x:c r="F5" s="583" t="str">
        <x:v>NZD/week</x:v>
      </x:c>
      <x:c r="G5" s="26"/>
      <x:c r="H5" s="26"/>
      <x:c r="I5" s="26"/>
      <x:c r="J5" s="26"/>
      <x:c r="K5" s="26"/>
      <x:c r="L5" s="26"/>
      <x:c r="M5" s="26"/>
    </x:row>
    <x:row r="6">
      <x:c r="A6" s="166" t="str">
        <x:v>Eligible payment weeks</x:v>
      </x:c>
      <x:c r="B6" s="167" t="n">
        <x:f>Assumptions!$D$35</x:f>
        <x:v>38</x:v>
      </x:c>
      <x:c r="C6" s="167" t="n">
        <x:f>Assumptions!$E$35</x:f>
        <x:v>40</x:v>
      </x:c>
      <x:c r="D6" s="167" t="n">
        <x:f>Assumptions!$F$35</x:f>
        <x:v>42</x:v>
      </x:c>
      <x:c r="E6" s="198" t="n">
        <x:v>40</x:v>
      </x:c>
      <x:c r="F6" s="583" t="str">
        <x:v>weeks/year</x:v>
      </x:c>
      <x:c r="G6" s="26"/>
      <x:c r="H6" s="26"/>
      <x:c r="I6" s="26"/>
      <x:c r="J6" s="26"/>
      <x:c r="K6" s="26"/>
      <x:c r="L6" s="26"/>
      <x:c r="M6" s="26"/>
    </x:row>
    <x:row r="7">
      <x:c r="A7" s="166" t="str">
        <x:v>Average earned proportion</x:v>
      </x:c>
      <x:c r="B7" s="276" t="n">
        <x:f>Assumptions!$D$37</x:f>
        <x:v>0.5</x:v>
      </x:c>
      <x:c r="C7" s="276" t="n">
        <x:f>Assumptions!$E$37</x:f>
        <x:v>0.65</x:v>
      </x:c>
      <x:c r="D7" s="276" t="n">
        <x:f>Assumptions!$F$37</x:f>
        <x:v>0.8</x:v>
      </x:c>
      <x:c r="E7" s="199" t="n">
        <x:v>1</x:v>
      </x:c>
      <x:c r="F7" s="583" t="str">
        <x:v>%</x:v>
      </x:c>
      <x:c r="G7" s="26"/>
      <x:c r="H7" s="26"/>
      <x:c r="I7" s="26"/>
      <x:c r="J7" s="26"/>
      <x:c r="K7" s="26"/>
      <x:c r="L7" s="26"/>
      <x:c r="M7" s="26"/>
    </x:row>
    <x:row r="8">
      <x:c r="A8" s="166" t="str">
        <x:v>Annual participation payment</x:v>
      </x:c>
      <x:c r="B8" s="167" t="n">
        <x:f>B5*B6*B7</x:f>
        <x:v>2375</x:v>
      </x:c>
      <x:c r="C8" s="167" t="n">
        <x:f>C5*C6*C7</x:f>
        <x:v>3900</x:v>
      </x:c>
      <x:c r="D8" s="167" t="n">
        <x:f>D5*D6*D7</x:f>
        <x:v>5040</x:v>
      </x:c>
      <x:c r="E8" s="225" t="n">
        <x:f>E5*E6*E7</x:f>
        <x:v>6000</x:v>
      </x:c>
      <x:c r="F8" s="583" t="str">
        <x:v>NZD/year</x:v>
      </x:c>
      <x:c r="G8" s="26"/>
      <x:c r="H8" s="26"/>
      <x:c r="I8" s="26"/>
      <x:c r="J8" s="26"/>
      <x:c r="K8" s="26"/>
      <x:c r="L8" s="26"/>
      <x:c r="M8" s="26"/>
    </x:row>
    <x:row r="9">
      <x:c r="A9" s="166" t="str">
        <x:v>Immediate-access share</x:v>
      </x:c>
      <x:c r="B9" s="276" t="n">
        <x:f>1-Assumptions!$D$55</x:f>
        <x:v>0.5</x:v>
      </x:c>
      <x:c r="C9" s="276" t="n">
        <x:f>1-Assumptions!$E$55</x:f>
        <x:v>0.5</x:v>
      </x:c>
      <x:c r="D9" s="276" t="n">
        <x:f>1-Assumptions!$F$55</x:f>
        <x:v>0.5</x:v>
      </x:c>
      <x:c r="E9" s="584" t="n">
        <x:v>0.5</x:v>
      </x:c>
      <x:c r="F9" s="583" t="str">
        <x:v>%</x:v>
      </x:c>
      <x:c r="G9" s="26"/>
      <x:c r="H9" s="26"/>
      <x:c r="I9" s="26"/>
      <x:c r="J9" s="26"/>
      <x:c r="K9" s="26"/>
      <x:c r="L9" s="26"/>
      <x:c r="M9" s="26"/>
    </x:row>
    <x:row r="10">
      <x:c r="A10" s="166" t="str">
        <x:v>Learning Capital Account share</x:v>
      </x:c>
      <x:c r="B10" s="276" t="n">
        <x:f>Assumptions!$D$55</x:f>
        <x:v>0.5</x:v>
      </x:c>
      <x:c r="C10" s="276" t="n">
        <x:f>Assumptions!$E$55</x:f>
        <x:v>0.5</x:v>
      </x:c>
      <x:c r="D10" s="276" t="n">
        <x:f>Assumptions!$F$55</x:f>
        <x:v>0.5</x:v>
      </x:c>
      <x:c r="E10" s="584" t="n">
        <x:v>0.5</x:v>
      </x:c>
      <x:c r="F10" s="583" t="str">
        <x:v>%</x:v>
      </x:c>
      <x:c r="G10" s="26"/>
      <x:c r="H10" s="26"/>
      <x:c r="I10" s="26"/>
      <x:c r="J10" s="26"/>
      <x:c r="K10" s="26"/>
      <x:c r="L10" s="26"/>
      <x:c r="M10" s="26"/>
    </x:row>
    <x:row r="11">
      <x:c r="A11" s="166" t="str">
        <x:v>Annual immediate-access payment</x:v>
      </x:c>
      <x:c r="B11" s="167" t="n">
        <x:f>B8*B9</x:f>
        <x:v>1187.5</x:v>
      </x:c>
      <x:c r="C11" s="167" t="n">
        <x:f>C8*C9</x:f>
        <x:v>1950</x:v>
      </x:c>
      <x:c r="D11" s="167" t="n">
        <x:f>D8*D9</x:f>
        <x:v>2520</x:v>
      </x:c>
      <x:c r="E11" s="225" t="n">
        <x:f>E8*E9</x:f>
        <x:v>3000</x:v>
      </x:c>
      <x:c r="F11" s="583" t="str">
        <x:v>NZD/year</x:v>
      </x:c>
      <x:c r="G11" s="26"/>
      <x:c r="H11" s="26"/>
      <x:c r="I11" s="26"/>
      <x:c r="J11" s="26"/>
      <x:c r="K11" s="26"/>
      <x:c r="L11" s="26"/>
      <x:c r="M11" s="26"/>
    </x:row>
    <x:row r="12">
      <x:c r="A12" s="166" t="str">
        <x:v>Annual Learning Capital contribution</x:v>
      </x:c>
      <x:c r="B12" s="167" t="n">
        <x:f>B8*B10</x:f>
        <x:v>1187.5</x:v>
      </x:c>
      <x:c r="C12" s="167" t="n">
        <x:f>C8*C10</x:f>
        <x:v>1950</x:v>
      </x:c>
      <x:c r="D12" s="167" t="n">
        <x:f>D8*D10</x:f>
        <x:v>2520</x:v>
      </x:c>
      <x:c r="E12" s="225" t="n">
        <x:f>E8*E10</x:f>
        <x:v>3000</x:v>
      </x:c>
      <x:c r="F12" s="583" t="str">
        <x:v>NZD/year</x:v>
      </x:c>
      <x:c r="G12" s="26"/>
      <x:c r="H12" s="26"/>
      <x:c r="I12" s="26"/>
      <x:c r="J12" s="26"/>
      <x:c r="K12" s="26"/>
      <x:c r="L12" s="26"/>
      <x:c r="M12" s="26"/>
    </x:row>
    <x:row r="13">
      <x:c r="A13" s="166" t="str">
        <x:v>Contribution years</x:v>
      </x:c>
      <x:c r="B13" s="167" t="n">
        <x:f>Assumptions!$D$56</x:f>
        <x:v>5</x:v>
      </x:c>
      <x:c r="C13" s="167" t="n">
        <x:f>Assumptions!$E$56</x:f>
        <x:v>5</x:v>
      </x:c>
      <x:c r="D13" s="167" t="n">
        <x:f>Assumptions!$F$56</x:f>
        <x:v>5</x:v>
      </x:c>
      <x:c r="E13" s="225" t="n">
        <x:v>5</x:v>
      </x:c>
      <x:c r="F13" s="583" t="str">
        <x:v>years</x:v>
      </x:c>
      <x:c r="G13" s="26"/>
      <x:c r="H13" s="26"/>
      <x:c r="I13" s="26"/>
      <x:c r="J13" s="26"/>
      <x:c r="K13" s="26"/>
      <x:c r="L13" s="26"/>
      <x:c r="M13" s="26"/>
    </x:row>
    <x:row r="14">
      <x:c r="A14" s="166" t="str">
        <x:v>Nominal five-year Learning Capital contributions</x:v>
      </x:c>
      <x:c r="B14" s="167" t="n">
        <x:f>B12*B13</x:f>
        <x:v>5937.5</x:v>
      </x:c>
      <x:c r="C14" s="167" t="n">
        <x:f>C12*C13</x:f>
        <x:v>9750</x:v>
      </x:c>
      <x:c r="D14" s="167" t="n">
        <x:f>D12*D13</x:f>
        <x:v>12600</x:v>
      </x:c>
      <x:c r="E14" s="225" t="n">
        <x:f>E12*E13</x:f>
        <x:v>15000</x:v>
      </x:c>
      <x:c r="F14" s="583" t="str">
        <x:v>NZD</x:v>
      </x:c>
      <x:c r="G14" s="26"/>
      <x:c r="H14" s="26"/>
      <x:c r="I14" s="26"/>
      <x:c r="J14" s="26"/>
      <x:c r="K14" s="26"/>
      <x:c r="L14" s="26"/>
      <x:c r="M14" s="26"/>
    </x:row>
    <x:row r="15">
      <x:c r="A15" s="166" t="str">
        <x:v>Starting gross nominal investment return</x:v>
      </x:c>
      <x:c r="B15" s="585" t="n">
        <x:f>Assumptions!$D$57</x:f>
        <x:v>0.027</x:v>
      </x:c>
      <x:c r="C15" s="585" t="n">
        <x:f>Assumptions!$E$57</x:f>
        <x:v>0.0525</x:v>
      </x:c>
      <x:c r="D15" s="585" t="n">
        <x:f>Assumptions!$F$57</x:f>
        <x:v>0.079</x:v>
      </x:c>
      <x:c r="E15" s="586" t="n">
        <x:v>0.0525</x:v>
      </x:c>
      <x:c r="F15" s="583" t="str">
        <x:v>%</x:v>
      </x:c>
      <x:c r="G15" s="26"/>
      <x:c r="H15" s="26"/>
      <x:c r="I15" s="26"/>
      <x:c r="J15" s="26"/>
      <x:c r="K15" s="26"/>
      <x:c r="L15" s="26"/>
      <x:c r="M15" s="26"/>
    </x:row>
    <x:row r="16">
      <x:c r="A16" s="166" t="str">
        <x:v>Investment management and custody fee</x:v>
      </x:c>
      <x:c r="B16" s="585" t="n">
        <x:f>Assumptions!$D$58</x:f>
        <x:v>0.004</x:v>
      </x:c>
      <x:c r="C16" s="585" t="n">
        <x:f>Assumptions!$E$58</x:f>
        <x:v>0.005</x:v>
      </x:c>
      <x:c r="D16" s="585" t="n">
        <x:f>Assumptions!$F$58</x:f>
        <x:v>0.007</x:v>
      </x:c>
      <x:c r="E16" s="586" t="n">
        <x:v>0.005</x:v>
      </x:c>
      <x:c r="F16" s="583" t="str">
        <x:v>% of AUM</x:v>
      </x:c>
      <x:c r="G16" s="26"/>
      <x:c r="H16" s="26"/>
      <x:c r="I16" s="26"/>
      <x:c r="J16" s="26"/>
      <x:c r="K16" s="26"/>
      <x:c r="L16" s="26"/>
      <x:c r="M16" s="26"/>
    </x:row>
    <x:row r="17">
      <x:c r="A17" s="166" t="str">
        <x:v>Effective investment tax drag</x:v>
      </x:c>
      <x:c r="B17" s="585" t="n">
        <x:f>Assumptions!$D$59</x:f>
        <x:v>0.003</x:v>
      </x:c>
      <x:c r="C17" s="585" t="n">
        <x:f>Assumptions!$E$59</x:f>
        <x:v>0.0075</x:v>
      </x:c>
      <x:c r="D17" s="585" t="n">
        <x:f>Assumptions!$F$59</x:f>
        <x:v>0.012</x:v>
      </x:c>
      <x:c r="E17" s="586" t="n">
        <x:v>0.0075</x:v>
      </x:c>
      <x:c r="F17" s="583" t="str">
        <x:v>% of AUM</x:v>
      </x:c>
      <x:c r="G17" s="26"/>
      <x:c r="H17" s="26"/>
      <x:c r="I17" s="26"/>
      <x:c r="J17" s="26"/>
      <x:c r="K17" s="26"/>
      <x:c r="L17" s="26"/>
      <x:c r="M17" s="26"/>
    </x:row>
    <x:row r="18">
      <x:c r="A18" s="166" t="str">
        <x:v>Starting net nominal investment return</x:v>
      </x:c>
      <x:c r="B18" s="585" t="n">
        <x:f>Assumptions!$D$60</x:f>
        <x:v>0.02</x:v>
      </x:c>
      <x:c r="C18" s="585" t="n">
        <x:f>Assumptions!$E$60</x:f>
        <x:v>0.04</x:v>
      </x:c>
      <x:c r="D18" s="585" t="n">
        <x:f>Assumptions!$F$60</x:f>
        <x:v>0.06</x:v>
      </x:c>
      <x:c r="E18" s="586" t="n">
        <x:v>0.04</x:v>
      </x:c>
      <x:c r="F18" s="583" t="str">
        <x:v>%</x:v>
      </x:c>
      <x:c r="G18" s="26"/>
      <x:c r="H18" s="26"/>
      <x:c r="I18" s="26"/>
      <x:c r="J18" s="26"/>
      <x:c r="K18" s="26"/>
      <x:c r="L18" s="26"/>
      <x:c r="M18" s="26"/>
    </x:row>
    <x:row r="19">
      <x:c r="A19" s="26"/>
      <x:c r="B19" s="26"/>
      <x:c r="C19" s="26"/>
      <x:c r="D19" s="26"/>
      <x:c r="E19" s="26"/>
      <x:c r="F19" s="26"/>
      <x:c r="G19" s="26"/>
      <x:c r="H19" s="26"/>
      <x:c r="I19" s="26"/>
      <x:c r="J19" s="26"/>
      <x:c r="K19" s="26"/>
      <x:c r="L19" s="26"/>
      <x:c r="M19" s="26"/>
    </x:row>
    <x:row r="20" ht="22" customHeight="1">
      <x:c r="A20" s="587" t="str">
        <x:v>Five-year accumulation and participant financial outcome</x:v>
      </x:c>
      <x:c r="B20" s="587" t="str">
        <x:v>Five-year accumulation and participant financial outcome</x:v>
      </x:c>
      <x:c r="C20" s="587" t="str">
        <x:v>Five-year accumulation and participant financial outcome</x:v>
      </x:c>
      <x:c r="D20" s="587" t="str">
        <x:v>Five-year accumulation and participant financial outcome</x:v>
      </x:c>
      <x:c r="E20" s="587" t="str">
        <x:v>Five-year accumulation and participant financial outcome</x:v>
      </x:c>
      <x:c r="F20" s="587" t="str">
        <x:v>Five-year accumulation and participant financial outcome</x:v>
      </x:c>
      <x:c r="G20" s="587" t="str">
        <x:v>Five-year accumulation and participant financial outcome</x:v>
      </x:c>
      <x:c r="H20" s="587" t="str">
        <x:v>Five-year accumulation and participant financial outcome</x:v>
      </x:c>
      <x:c r="I20" s="587" t="str">
        <x:v>Five-year accumulation and participant financial outcome</x:v>
      </x:c>
      <x:c r="J20" s="587" t="str">
        <x:v>Five-year accumulation and participant financial outcome</x:v>
      </x:c>
      <x:c r="K20" s="587" t="str">
        <x:v>Five-year accumulation and participant financial outcome</x:v>
      </x:c>
      <x:c r="L20" s="587" t="str">
        <x:v>Five-year accumulation and participant financial outcome</x:v>
      </x:c>
      <x:c r="M20" s="587" t="str">
        <x:v>Five-year accumulation and participant financial outcome</x:v>
      </x:c>
    </x:row>
    <x:row r="21">
      <x:c r="A21" s="166" t="str">
        <x:v>Total participation payments earned</x:v>
      </x:c>
      <x:c r="B21" s="225" t="n">
        <x:f>B8*B13</x:f>
        <x:v>11875</x:v>
      </x:c>
      <x:c r="C21" s="225" t="n">
        <x:f>C8*C13</x:f>
        <x:v>19500</x:v>
      </x:c>
      <x:c r="D21" s="225" t="n">
        <x:f>D8*D13</x:f>
        <x:v>25200</x:v>
      </x:c>
      <x:c r="E21" s="225" t="n">
        <x:f>E8*E13</x:f>
        <x:v>30000</x:v>
      </x:c>
      <x:c r="F21" s="583" t="str">
        <x:v>NZD</x:v>
      </x:c>
      <x:c r="G21" s="26"/>
      <x:c r="H21" s="26"/>
      <x:c r="I21" s="26"/>
      <x:c r="J21" s="26"/>
      <x:c r="K21" s="26"/>
      <x:c r="L21" s="26"/>
      <x:c r="M21" s="26"/>
    </x:row>
    <x:row r="22">
      <x:c r="A22" s="166" t="str">
        <x:v>Immediate-access payments received</x:v>
      </x:c>
      <x:c r="B22" s="225" t="n">
        <x:f>B11*B13</x:f>
        <x:v>5937.5</x:v>
      </x:c>
      <x:c r="C22" s="225" t="n">
        <x:f>C11*C13</x:f>
        <x:v>9750</x:v>
      </x:c>
      <x:c r="D22" s="225" t="n">
        <x:f>D11*D13</x:f>
        <x:v>12600</x:v>
      </x:c>
      <x:c r="E22" s="225" t="n">
        <x:f>E11*E13</x:f>
        <x:v>15000</x:v>
      </x:c>
      <x:c r="F22" s="583" t="str">
        <x:v>NZD</x:v>
      </x:c>
      <x:c r="G22" s="26"/>
      <x:c r="H22" s="26"/>
      <x:c r="I22" s="26"/>
      <x:c r="J22" s="26"/>
      <x:c r="K22" s="26"/>
      <x:c r="L22" s="26"/>
      <x:c r="M22" s="26"/>
    </x:row>
    <x:row r="23">
      <x:c r="A23" s="166" t="str">
        <x:v>Nominal Learning Capital contributions</x:v>
      </x:c>
      <x:c r="B23" s="225" t="n">
        <x:f>B14</x:f>
        <x:v>5937.5</x:v>
      </x:c>
      <x:c r="C23" s="225" t="n">
        <x:f>C14</x:f>
        <x:v>9750</x:v>
      </x:c>
      <x:c r="D23" s="225" t="n">
        <x:f>D14</x:f>
        <x:v>12600</x:v>
      </x:c>
      <x:c r="E23" s="225" t="n">
        <x:f>E14</x:f>
        <x:v>15000</x:v>
      </x:c>
      <x:c r="F23" s="583" t="str">
        <x:v>NZD</x:v>
      </x:c>
      <x:c r="G23" s="26"/>
      <x:c r="H23" s="26"/>
      <x:c r="I23" s="26"/>
      <x:c r="J23" s="26"/>
      <x:c r="K23" s="26"/>
      <x:c r="L23" s="26"/>
      <x:c r="M23" s="26"/>
    </x:row>
    <x:row r="24">
      <x:c r="A24" s="166" t="str">
        <x:v>Closing balance before fees and tax</x:v>
      </x:c>
      <x:c r="B24" s="225" t="n">
        <x:f>(((((0*(1+$B$15)+($B$12/$B$6)*IF(ABS(((1+$B$15)^(1/52)-1))&lt;0.0000001,$B$6,(((1+((1+$B$15)^(1/52)-1))^$B$6-1)/((1+$B$15)^(1/52)-1))*(1+((1+$B$15)^(1/52)-1))^(52-$B$6)))*(1+$B$15)+($B$12/$B$6)*IF(ABS(((1+$B$15)^(1/52)-1))&lt;0.0000001,$B$6,(((1+((1+$B$15)^(1/52)-1))^$B$6-1)/((1+$B$15)^(1/52)-1))*(1+((1+$B$15)^(1/52)-1))^(52-$B$6)))*(1+$B$15)+($B$12/$B$6)*IF(ABS(((1+$B$15)^(1/52)-1))&lt;0.0000001,$B$6,(((1+((1+$B$15)^(1/52)-1))^$B$6-1)/((1+$B$15)^(1/52)-1))*(1+((1+$B$15)^(1/52)-1))^(52-$B$6)))*(1+MAX($B$15-Assumptions!$E$61,-0.99))+($B$12/$B$6)*IF(ABS(((1+MAX($B$15-Assumptions!$E$61,-0.99))^(1/52)-1))&lt;0.0000001,$B$6,(((1+((1+MAX($B$15-Assumptions!$E$61,-0.99))^(1/52)-1))^$B$6-1)/((1+MAX($B$15-Assumptions!$E$61,-0.99))^(1/52)-1))*(1+((1+MAX($B$15-Assumptions!$E$61,-0.99))^(1/52)-1))^(52-$B$6)))*(1+MAX($B$15-Assumptions!$E$62,-0.99))+($B$12/$B$6)*IF(ABS(((1+MAX($B$15-Assumptions!$E$62,-0.99))^(1/52)-1))&lt;0.0000001,$B$6,(((1+((1+MAX($B$15-Assumptions!$E$62,-0.99))^(1/52)-1))^$B$6-1)/((1+MAX($B$15-Assumptions!$E$62,-0.99))^(1/52)-1))*(1+((1+MAX($B$15-Assumptions!$E$62,-0.99))^(1/52)-1))^(52-$B$6)))</x:f>
        <x:v>6291.894128709322</x:v>
      </x:c>
      <x:c r="C24" s="225" t="n">
        <x:f>(((((0*(1+$C$15)+($C$12/$C$6)*IF(ABS(((1+$C$15)^(1/52)-1))&lt;0.0000001,$C$6,(((1+((1+$C$15)^(1/52)-1))^$C$6-1)/((1+$C$15)^(1/52)-1))*(1+((1+$C$15)^(1/52)-1))^(52-$C$6)))*(1+$C$15)+($C$12/$C$6)*IF(ABS(((1+$C$15)^(1/52)-1))&lt;0.0000001,$C$6,(((1+((1+$C$15)^(1/52)-1))^$C$6-1)/((1+$C$15)^(1/52)-1))*(1+((1+$C$15)^(1/52)-1))^(52-$C$6)))*(1+$C$15)+($C$12/$C$6)*IF(ABS(((1+$C$15)^(1/52)-1))&lt;0.0000001,$C$6,(((1+((1+$C$15)^(1/52)-1))^$C$6-1)/((1+$C$15)^(1/52)-1))*(1+((1+$C$15)^(1/52)-1))^(52-$C$6)))*(1+MAX($C$15-Assumptions!$E$61,-0.99))+($C$12/$C$6)*IF(ABS(((1+MAX($C$15-Assumptions!$E$61,-0.99))^(1/52)-1))&lt;0.0000001,$C$6,(((1+((1+MAX($C$15-Assumptions!$E$61,-0.99))^(1/52)-1))^$C$6-1)/((1+MAX($C$15-Assumptions!$E$61,-0.99))^(1/52)-1))*(1+((1+MAX($C$15-Assumptions!$E$61,-0.99))^(1/52)-1))^(52-$C$6)))*(1+MAX($C$15-Assumptions!$E$62,-0.99))+($C$12/$C$6)*IF(ABS(((1+MAX($C$15-Assumptions!$E$62,-0.99))^(1/52)-1))&lt;0.0000001,$C$6,(((1+((1+MAX($C$15-Assumptions!$E$62,-0.99))^(1/52)-1))^$C$6-1)/((1+MAX($C$15-Assumptions!$E$62,-0.99))^(1/52)-1))*(1+((1+MAX($C$15-Assumptions!$E$62,-0.99))^(1/52)-1))^(52-$C$6)))</x:f>
        <x:v>11032.690265582502</x:v>
      </x:c>
      <x:c r="D24" s="225" t="n">
        <x:f>(((((0*(1+$D$15)+($D$12/$D$6)*IF(ABS(((1+$D$15)^(1/52)-1))&lt;0.0000001,$D$6,(((1+((1+$D$15)^(1/52)-1))^$D$6-1)/((1+$D$15)^(1/52)-1))*(1+((1+$D$15)^(1/52)-1))^(52-$D$6)))*(1+$D$15)+($D$12/$D$6)*IF(ABS(((1+$D$15)^(1/52)-1))&lt;0.0000001,$D$6,(((1+((1+$D$15)^(1/52)-1))^$D$6-1)/((1+$D$15)^(1/52)-1))*(1+((1+$D$15)^(1/52)-1))^(52-$D$6)))*(1+$D$15)+($D$12/$D$6)*IF(ABS(((1+$D$15)^(1/52)-1))&lt;0.0000001,$D$6,(((1+((1+$D$15)^(1/52)-1))^$D$6-1)/((1+$D$15)^(1/52)-1))*(1+((1+$D$15)^(1/52)-1))^(52-$D$6)))*(1+MAX($D$15-Assumptions!$E$61,-0.99))+($D$12/$D$6)*IF(ABS(((1+MAX($D$15-Assumptions!$E$61,-0.99))^(1/52)-1))&lt;0.0000001,$D$6,(((1+((1+MAX($D$15-Assumptions!$E$61,-0.99))^(1/52)-1))^$D$6-1)/((1+MAX($D$15-Assumptions!$E$61,-0.99))^(1/52)-1))*(1+((1+MAX($D$15-Assumptions!$E$61,-0.99))^(1/52)-1))^(52-$D$6)))*(1+MAX($D$15-Assumptions!$E$62,-0.99))+($D$12/$D$6)*IF(ABS(((1+MAX($D$15-Assumptions!$E$62,-0.99))^(1/52)-1))&lt;0.0000001,$D$6,(((1+((1+MAX($D$15-Assumptions!$E$62,-0.99))^(1/52)-1))^$D$6-1)/((1+MAX($D$15-Assumptions!$E$62,-0.99))^(1/52)-1))*(1+((1+MAX($D$15-Assumptions!$E$62,-0.99))^(1/52)-1))^(52-$D$6)))</x:f>
        <x:v>15243.280599260628</x:v>
      </x:c>
      <x:c r="E24" s="225" t="n">
        <x:f>(((((0*(1+$E$15)+($E$12/$E$6)*IF(ABS(((1+$E$15)^(1/52)-1))&lt;0.0000001,$E$6,(((1+((1+$E$15)^(1/52)-1))^$E$6-1)/((1+$E$15)^(1/52)-1))*(1+((1+$E$15)^(1/52)-1))^(52-$E$6)))*(1+$E$15)+($E$12/$E$6)*IF(ABS(((1+$E$15)^(1/52)-1))&lt;0.0000001,$E$6,(((1+((1+$E$15)^(1/52)-1))^$E$6-1)/((1+$E$15)^(1/52)-1))*(1+((1+$E$15)^(1/52)-1))^(52-$E$6)))*(1+$E$15)+($E$12/$E$6)*IF(ABS(((1+$E$15)^(1/52)-1))&lt;0.0000001,$E$6,(((1+((1+$E$15)^(1/52)-1))^$E$6-1)/((1+$E$15)^(1/52)-1))*(1+((1+$E$15)^(1/52)-1))^(52-$E$6)))*(1+MAX($E$15-Assumptions!$E$61,-0.99))+($E$12/$E$6)*IF(ABS(((1+MAX($E$15-Assumptions!$E$61,-0.99))^(1/52)-1))&lt;0.0000001,$E$6,(((1+((1+MAX($E$15-Assumptions!$E$61,-0.99))^(1/52)-1))^$E$6-1)/((1+MAX($E$15-Assumptions!$E$61,-0.99))^(1/52)-1))*(1+((1+MAX($E$15-Assumptions!$E$61,-0.99))^(1/52)-1))^(52-$E$6)))*(1+MAX($E$15-Assumptions!$E$62,-0.99))+($E$12/$E$6)*IF(ABS(((1+MAX($E$15-Assumptions!$E$62,-0.99))^(1/52)-1))&lt;0.0000001,$E$6,(((1+((1+MAX($E$15-Assumptions!$E$62,-0.99))^(1/52)-1))^$E$6-1)/((1+MAX($E$15-Assumptions!$E$62,-0.99))^(1/52)-1))*(1+((1+MAX($E$15-Assumptions!$E$62,-0.99))^(1/52)-1))^(52-$E$6)))</x:f>
        <x:v>16973.369639357694</x:v>
      </x:c>
      <x:c r="F24" s="583" t="str">
        <x:v>NZD</x:v>
      </x:c>
      <x:c r="G24" s="26"/>
      <x:c r="H24" s="26"/>
      <x:c r="I24" s="26"/>
      <x:c r="J24" s="26"/>
      <x:c r="K24" s="26"/>
      <x:c r="L24" s="26"/>
      <x:c r="M24" s="26"/>
    </x:row>
    <x:row r="25">
      <x:c r="A25" s="166" t="str">
        <x:v>Investment-fee drag</x:v>
      </x:c>
      <x:c r="B25" s="225" t="n">
        <x:f>B24-((((((0*(1+($B$15-$B$16))+($B$12/$B$6)*IF(ABS(((1+($B$15-$B$16))^(1/52)-1))&lt;0.0000001,$B$6,(((1+((1+($B$15-$B$16))^(1/52)-1))^$B$6-1)/((1+($B$15-$B$16))^(1/52)-1))*(1+((1+($B$15-$B$16))^(1/52)-1))^(52-$B$6)))*(1+($B$15-$B$16))+($B$12/$B$6)*IF(ABS(((1+($B$15-$B$16))^(1/52)-1))&lt;0.0000001,$B$6,(((1+((1+($B$15-$B$16))^(1/52)-1))^$B$6-1)/((1+($B$15-$B$16))^(1/52)-1))*(1+((1+($B$15-$B$16))^(1/52)-1))^(52-$B$6)))*(1+($B$15-$B$16))+($B$12/$B$6)*IF(ABS(((1+($B$15-$B$16))^(1/52)-1))&lt;0.0000001,$B$6,(((1+((1+($B$15-$B$16))^(1/52)-1))^$B$6-1)/((1+($B$15-$B$16))^(1/52)-1))*(1+((1+($B$15-$B$16))^(1/52)-1))^(52-$B$6)))*(1+MAX(($B$15-$B$16)-Assumptions!$E$61,-0.99))+($B$12/$B$6)*IF(ABS(((1+MAX(($B$15-$B$16)-Assumptions!$E$61,-0.99))^(1/52)-1))&lt;0.0000001,$B$6,(((1+((1+MAX(($B$15-$B$16)-Assumptions!$E$61,-0.99))^(1/52)-1))^$B$6-1)/((1+MAX(($B$15-$B$16)-Assumptions!$E$61,-0.99))^(1/52)-1))*(1+((1+MAX(($B$15-$B$16)-Assumptions!$E$61,-0.99))^(1/52)-1))^(52-$B$6)))*(1+MAX(($B$15-$B$16)-Assumptions!$E$62,-0.99))+($B$12/$B$6)*IF(ABS(((1+MAX(($B$15-$B$16)-Assumptions!$E$62,-0.99))^(1/52)-1))&lt;0.0000001,$B$6,(((1+((1+MAX(($B$15-$B$16)-Assumptions!$E$62,-0.99))^(1/52)-1))^$B$6-1)/((1+MAX(($B$15-$B$16)-Assumptions!$E$62,-0.99))^(1/52)-1))*(1+((1+MAX(($B$15-$B$16)-Assumptions!$E$62,-0.99))^(1/52)-1))^(52-$B$6))))</x:f>
        <x:v>65.56745592636435</x:v>
      </x:c>
      <x:c r="C25" s="225" t="n">
        <x:f>C24-((((((0*(1+($C$15-$C$16))+($C$12/$C$6)*IF(ABS(((1+($C$15-$C$16))^(1/52)-1))&lt;0.0000001,$C$6,(((1+((1+($C$15-$C$16))^(1/52)-1))^$C$6-1)/((1+($C$15-$C$16))^(1/52)-1))*(1+((1+($C$15-$C$16))^(1/52)-1))^(52-$C$6)))*(1+($C$15-$C$16))+($C$12/$C$6)*IF(ABS(((1+($C$15-$C$16))^(1/52)-1))&lt;0.0000001,$C$6,(((1+((1+($C$15-$C$16))^(1/52)-1))^$C$6-1)/((1+($C$15-$C$16))^(1/52)-1))*(1+((1+($C$15-$C$16))^(1/52)-1))^(52-$C$6)))*(1+($C$15-$C$16))+($C$12/$C$6)*IF(ABS(((1+($C$15-$C$16))^(1/52)-1))&lt;0.0000001,$C$6,(((1+((1+($C$15-$C$16))^(1/52)-1))^$C$6-1)/((1+($C$15-$C$16))^(1/52)-1))*(1+((1+($C$15-$C$16))^(1/52)-1))^(52-$C$6)))*(1+MAX(($C$15-$C$16)-Assumptions!$E$61,-0.99))+($C$12/$C$6)*IF(ABS(((1+MAX(($C$15-$C$16)-Assumptions!$E$61,-0.99))^(1/52)-1))&lt;0.0000001,$C$6,(((1+((1+MAX(($C$15-$C$16)-Assumptions!$E$61,-0.99))^(1/52)-1))^$C$6-1)/((1+MAX(($C$15-$C$16)-Assumptions!$E$61,-0.99))^(1/52)-1))*(1+((1+MAX(($C$15-$C$16)-Assumptions!$E$61,-0.99))^(1/52)-1))^(52-$C$6)))*(1+MAX(($C$15-$C$16)-Assumptions!$E$62,-0.99))+($C$12/$C$6)*IF(ABS(((1+MAX(($C$15-$C$16)-Assumptions!$E$62,-0.99))^(1/52)-1))&lt;0.0000001,$C$6,(((1+((1+MAX(($C$15-$C$16)-Assumptions!$E$62,-0.99))^(1/52)-1))^$C$6-1)/((1+MAX(($C$15-$C$16)-Assumptions!$E$62,-0.99))^(1/52)-1))*(1+((1+MAX(($C$15-$C$16)-Assumptions!$E$62,-0.99))^(1/52)-1))^(52-$C$6))))</x:f>
        <x:v>141.68632657563649</x:v>
      </x:c>
      <x:c r="D25" s="225" t="n">
        <x:f>D24-((((((0*(1+($D$15-$D$16))+($D$12/$D$6)*IF(ABS(((1+($D$15-$D$16))^(1/52)-1))&lt;0.0000001,$D$6,(((1+((1+($D$15-$D$16))^(1/52)-1))^$D$6-1)/((1+($D$15-$D$16))^(1/52)-1))*(1+((1+($D$15-$D$16))^(1/52)-1))^(52-$D$6)))*(1+($D$15-$D$16))+($D$12/$D$6)*IF(ABS(((1+($D$15-$D$16))^(1/52)-1))&lt;0.0000001,$D$6,(((1+((1+($D$15-$D$16))^(1/52)-1))^$D$6-1)/((1+($D$15-$D$16))^(1/52)-1))*(1+((1+($D$15-$D$16))^(1/52)-1))^(52-$D$6)))*(1+($D$15-$D$16))+($D$12/$D$6)*IF(ABS(((1+($D$15-$D$16))^(1/52)-1))&lt;0.0000001,$D$6,(((1+((1+($D$15-$D$16))^(1/52)-1))^$D$6-1)/((1+($D$15-$D$16))^(1/52)-1))*(1+((1+($D$15-$D$16))^(1/52)-1))^(52-$D$6)))*(1+MAX(($D$15-$D$16)-Assumptions!$E$61,-0.99))+($D$12/$D$6)*IF(ABS(((1+MAX(($D$15-$D$16)-Assumptions!$E$61,-0.99))^(1/52)-1))&lt;0.0000001,$D$6,(((1+((1+MAX(($D$15-$D$16)-Assumptions!$E$61,-0.99))^(1/52)-1))^$D$6-1)/((1+MAX(($D$15-$D$16)-Assumptions!$E$61,-0.99))^(1/52)-1))*(1+((1+MAX(($D$15-$D$16)-Assumptions!$E$61,-0.99))^(1/52)-1))^(52-$D$6)))*(1+MAX(($D$15-$D$16)-Assumptions!$E$62,-0.99))+($D$12/$D$6)*IF(ABS(((1+MAX(($D$15-$D$16)-Assumptions!$E$62,-0.99))^(1/52)-1))&lt;0.0000001,$D$6,(((1+((1+MAX(($D$15-$D$16)-Assumptions!$E$62,-0.99))^(1/52)-1))^$D$6-1)/((1+MAX(($D$15-$D$16)-Assumptions!$E$62,-0.99))^(1/52)-1))*(1+((1+MAX(($D$15-$D$16)-Assumptions!$E$62,-0.99))^(1/52)-1))^(52-$D$6))))</x:f>
        <x:v>269.8493864864304</x:v>
      </x:c>
      <x:c r="E25" s="225" t="n">
        <x:f>E24-((((((0*(1+($E$15-$E$16))+($E$12/$E$6)*IF(ABS(((1+($E$15-$E$16))^(1/52)-1))&lt;0.0000001,$E$6,(((1+((1+($E$15-$E$16))^(1/52)-1))^$E$6-1)/((1+($E$15-$E$16))^(1/52)-1))*(1+((1+($E$15-$E$16))^(1/52)-1))^(52-$E$6)))*(1+($E$15-$E$16))+($E$12/$E$6)*IF(ABS(((1+($E$15-$E$16))^(1/52)-1))&lt;0.0000001,$E$6,(((1+((1+($E$15-$E$16))^(1/52)-1))^$E$6-1)/((1+($E$15-$E$16))^(1/52)-1))*(1+((1+($E$15-$E$16))^(1/52)-1))^(52-$E$6)))*(1+($E$15-$E$16))+($E$12/$E$6)*IF(ABS(((1+($E$15-$E$16))^(1/52)-1))&lt;0.0000001,$E$6,(((1+((1+($E$15-$E$16))^(1/52)-1))^$E$6-1)/((1+($E$15-$E$16))^(1/52)-1))*(1+((1+($E$15-$E$16))^(1/52)-1))^(52-$E$6)))*(1+MAX(($E$15-$E$16)-Assumptions!$E$61,-0.99))+($E$12/$E$6)*IF(ABS(((1+MAX(($E$15-$E$16)-Assumptions!$E$61,-0.99))^(1/52)-1))&lt;0.0000001,$E$6,(((1+((1+MAX(($E$15-$E$16)-Assumptions!$E$61,-0.99))^(1/52)-1))^$E$6-1)/((1+MAX(($E$15-$E$16)-Assumptions!$E$61,-0.99))^(1/52)-1))*(1+((1+MAX(($E$15-$E$16)-Assumptions!$E$61,-0.99))^(1/52)-1))^(52-$E$6)))*(1+MAX(($E$15-$E$16)-Assumptions!$E$62,-0.99))+($E$12/$E$6)*IF(ABS(((1+MAX(($E$15-$E$16)-Assumptions!$E$62,-0.99))^(1/52)-1))&lt;0.0000001,$E$6,(((1+((1+MAX(($E$15-$E$16)-Assumptions!$E$62,-0.99))^(1/52)-1))^$E$6-1)/((1+MAX(($E$15-$E$16)-Assumptions!$E$62,-0.99))^(1/52)-1))*(1+((1+MAX(($E$15-$E$16)-Assumptions!$E$62,-0.99))^(1/52)-1))^(52-$E$6))))</x:f>
        <x:v>217.97896396251963</x:v>
      </x:c>
      <x:c r="F25" s="583" t="str">
        <x:v>NZD</x:v>
      </x:c>
      <x:c r="G25" s="26"/>
      <x:c r="H25" s="26"/>
      <x:c r="I25" s="26"/>
      <x:c r="J25" s="26"/>
      <x:c r="K25" s="26"/>
      <x:c r="L25" s="26"/>
      <x:c r="M25" s="26"/>
    </x:row>
    <x:row r="26">
      <x:c r="A26" s="559" t="str">
        <x:v>Closing nominal Learning Capital balance</x:v>
      </x:c>
      <x:c r="B26" s="560" t="n">
        <x:f>(((((0*(1+$B$18)+($B$12/$B$6)*IF(ABS(((1+$B$18)^(1/52)-1))&lt;0.0000001,$B$6,(((1+((1+$B$18)^(1/52)-1))^$B$6-1)/((1+$B$18)^(1/52)-1))*(1+((1+$B$18)^(1/52)-1))^(52-$B$6)))*(1+$B$18)+($B$12/$B$6)*IF(ABS(((1+$B$18)^(1/52)-1))&lt;0.0000001,$B$6,(((1+((1+$B$18)^(1/52)-1))^$B$6-1)/((1+$B$18)^(1/52)-1))*(1+((1+$B$18)^(1/52)-1))^(52-$B$6)))*(1+$B$18)+($B$12/$B$6)*IF(ABS(((1+$B$18)^(1/52)-1))&lt;0.0000001,$B$6,(((1+((1+$B$18)^(1/52)-1))^$B$6-1)/((1+$B$18)^(1/52)-1))*(1+((1+$B$18)^(1/52)-1))^(52-$B$6)))*(1+MAX($B$18-Assumptions!$E$61,-0.99))+($B$12/$B$6)*IF(ABS(((1+MAX($B$18-Assumptions!$E$61,-0.99))^(1/52)-1))&lt;0.0000001,$B$6,(((1+((1+MAX($B$18-Assumptions!$E$61,-0.99))^(1/52)-1))^$B$6-1)/((1+MAX($B$18-Assumptions!$E$61,-0.99))^(1/52)-1))*(1+((1+MAX($B$18-Assumptions!$E$61,-0.99))^(1/52)-1))^(52-$B$6)))*(1+MAX($B$18-Assumptions!$E$62,-0.99))+($B$12/$B$6)*IF(ABS(((1+MAX($B$18-Assumptions!$E$62,-0.99))^(1/52)-1))&lt;0.0000001,$B$6,(((1+((1+MAX($B$18-Assumptions!$E$62,-0.99))^(1/52)-1))^$B$6-1)/((1+MAX($B$18-Assumptions!$E$62,-0.99))^(1/52)-1))*(1+((1+MAX($B$18-Assumptions!$E$62,-0.99))^(1/52)-1))^(52-$B$6)))</x:f>
        <x:v>6177.560266507666</x:v>
      </x:c>
      <x:c r="C26" s="560" t="n">
        <x:f>(((((0*(1+$C$18)+($C$12/$C$6)*IF(ABS(((1+$C$18)^(1/52)-1))&lt;0.0000001,$C$6,(((1+((1+$C$18)^(1/52)-1))^$C$6-1)/((1+$C$18)^(1/52)-1))*(1+((1+$C$18)^(1/52)-1))^(52-$C$6)))*(1+$C$18)+($C$12/$C$6)*IF(ABS(((1+$C$18)^(1/52)-1))&lt;0.0000001,$C$6,(((1+((1+$C$18)^(1/52)-1))^$C$6-1)/((1+$C$18)^(1/52)-1))*(1+((1+$C$18)^(1/52)-1))^(52-$C$6)))*(1+$C$18)+($C$12/$C$6)*IF(ABS(((1+$C$18)^(1/52)-1))&lt;0.0000001,$C$6,(((1+((1+$C$18)^(1/52)-1))^$C$6-1)/((1+$C$18)^(1/52)-1))*(1+((1+$C$18)^(1/52)-1))^(52-$C$6)))*(1+MAX($C$18-Assumptions!$E$61,-0.99))+($C$12/$C$6)*IF(ABS(((1+MAX($C$18-Assumptions!$E$61,-0.99))^(1/52)-1))&lt;0.0000001,$C$6,(((1+((1+MAX($C$18-Assumptions!$E$61,-0.99))^(1/52)-1))^$C$6-1)/((1+MAX($C$18-Assumptions!$E$61,-0.99))^(1/52)-1))*(1+((1+MAX($C$18-Assumptions!$E$61,-0.99))^(1/52)-1))^(52-$C$6)))*(1+MAX($C$18-Assumptions!$E$62,-0.99))+($C$12/$C$6)*IF(ABS(((1+MAX($C$18-Assumptions!$E$62,-0.99))^(1/52)-1))&lt;0.0000001,$C$6,(((1+((1+MAX($C$18-Assumptions!$E$62,-0.99))^(1/52)-1))^$C$6-1)/((1+MAX($C$18-Assumptions!$E$62,-0.99))^(1/52)-1))*(1+((1+MAX($C$18-Assumptions!$E$62,-0.99))^(1/52)-1))^(52-$C$6)))</x:f>
        <x:v>10681.574885879425</x:v>
      </x:c>
      <x:c r="D26" s="560" t="n">
        <x:f>(((((0*(1+$D$18)+($D$12/$D$6)*IF(ABS(((1+$D$18)^(1/52)-1))&lt;0.0000001,$D$6,(((1+((1+$D$18)^(1/52)-1))^$D$6-1)/((1+$D$18)^(1/52)-1))*(1+((1+$D$18)^(1/52)-1))^(52-$D$6)))*(1+$D$18)+($D$12/$D$6)*IF(ABS(((1+$D$18)^(1/52)-1))&lt;0.0000001,$D$6,(((1+((1+$D$18)^(1/52)-1))^$D$6-1)/((1+$D$18)^(1/52)-1))*(1+((1+$D$18)^(1/52)-1))^(52-$D$6)))*(1+$D$18)+($D$12/$D$6)*IF(ABS(((1+$D$18)^(1/52)-1))&lt;0.0000001,$D$6,(((1+((1+$D$18)^(1/52)-1))^$D$6-1)/((1+$D$18)^(1/52)-1))*(1+((1+$D$18)^(1/52)-1))^(52-$D$6)))*(1+MAX($D$18-Assumptions!$E$61,-0.99))+($D$12/$D$6)*IF(ABS(((1+MAX($D$18-Assumptions!$E$61,-0.99))^(1/52)-1))&lt;0.0000001,$D$6,(((1+((1+MAX($D$18-Assumptions!$E$61,-0.99))^(1/52)-1))^$D$6-1)/((1+MAX($D$18-Assumptions!$E$61,-0.99))^(1/52)-1))*(1+((1+MAX($D$18-Assumptions!$E$61,-0.99))^(1/52)-1))^(52-$D$6)))*(1+MAX($D$18-Assumptions!$E$62,-0.99))+($D$12/$D$6)*IF(ABS(((1+MAX($D$18-Assumptions!$E$62,-0.99))^(1/52)-1))&lt;0.0000001,$D$6,(((1+((1+MAX($D$18-Assumptions!$E$62,-0.99))^(1/52)-1))^$D$6-1)/((1+MAX($D$18-Assumptions!$E$62,-0.99))^(1/52)-1))*(1+((1+MAX($D$18-Assumptions!$E$62,-0.99))^(1/52)-1))^(52-$D$6)))</x:f>
        <x:v>14520.89817779505</x:v>
      </x:c>
      <x:c r="E26" s="560" t="n">
        <x:f>(((((0*(1+$E$18)+($E$12/$E$6)*IF(ABS(((1+$E$18)^(1/52)-1))&lt;0.0000001,$E$6,(((1+((1+$E$18)^(1/52)-1))^$E$6-1)/((1+$E$18)^(1/52)-1))*(1+((1+$E$18)^(1/52)-1))^(52-$E$6)))*(1+$E$18)+($E$12/$E$6)*IF(ABS(((1+$E$18)^(1/52)-1))&lt;0.0000001,$E$6,(((1+((1+$E$18)^(1/52)-1))^$E$6-1)/((1+$E$18)^(1/52)-1))*(1+((1+$E$18)^(1/52)-1))^(52-$E$6)))*(1+$E$18)+($E$12/$E$6)*IF(ABS(((1+$E$18)^(1/52)-1))&lt;0.0000001,$E$6,(((1+((1+$E$18)^(1/52)-1))^$E$6-1)/((1+$E$18)^(1/52)-1))*(1+((1+$E$18)^(1/52)-1))^(52-$E$6)))*(1+MAX($E$18-Assumptions!$E$61,-0.99))+($E$12/$E$6)*IF(ABS(((1+MAX($E$18-Assumptions!$E$61,-0.99))^(1/52)-1))&lt;0.0000001,$E$6,(((1+((1+MAX($E$18-Assumptions!$E$61,-0.99))^(1/52)-1))^$E$6-1)/((1+MAX($E$18-Assumptions!$E$61,-0.99))^(1/52)-1))*(1+((1+MAX($E$18-Assumptions!$E$61,-0.99))^(1/52)-1))^(52-$E$6)))*(1+MAX($E$18-Assumptions!$E$62,-0.99))+($E$12/$E$6)*IF(ABS(((1+MAX($E$18-Assumptions!$E$62,-0.99))^(1/52)-1))&lt;0.0000001,$E$6,(((1+((1+MAX($E$18-Assumptions!$E$62,-0.99))^(1/52)-1))^$E$6-1)/((1+MAX($E$18-Assumptions!$E$62,-0.99))^(1/52)-1))*(1+((1+MAX($E$18-Assumptions!$E$62,-0.99))^(1/52)-1))^(52-$E$6)))</x:f>
        <x:v>16433.19213212219</x:v>
      </x:c>
      <x:c r="F26" s="583" t="str">
        <x:v>NZD</x:v>
      </x:c>
      <x:c r="G26" s="26"/>
      <x:c r="H26" s="26"/>
      <x:c r="I26" s="26"/>
      <x:c r="J26" s="26"/>
      <x:c r="K26" s="26"/>
      <x:c r="L26" s="26"/>
      <x:c r="M26" s="26"/>
    </x:row>
    <x:row r="27">
      <x:c r="A27" s="166" t="str">
        <x:v>Investment-tax drag</x:v>
      </x:c>
      <x:c r="B27" s="225" t="n">
        <x:f>((((((0*(1+($B$15-$B$16))+($B$12/$B$6)*IF(ABS(((1+($B$15-$B$16))^(1/52)-1))&lt;0.0000001,$B$6,(((1+((1+($B$15-$B$16))^(1/52)-1))^$B$6-1)/((1+($B$15-$B$16))^(1/52)-1))*(1+((1+($B$15-$B$16))^(1/52)-1))^(52-$B$6)))*(1+($B$15-$B$16))+($B$12/$B$6)*IF(ABS(((1+($B$15-$B$16))^(1/52)-1))&lt;0.0000001,$B$6,(((1+((1+($B$15-$B$16))^(1/52)-1))^$B$6-1)/((1+($B$15-$B$16))^(1/52)-1))*(1+((1+($B$15-$B$16))^(1/52)-1))^(52-$B$6)))*(1+($B$15-$B$16))+($B$12/$B$6)*IF(ABS(((1+($B$15-$B$16))^(1/52)-1))&lt;0.0000001,$B$6,(((1+((1+($B$15-$B$16))^(1/52)-1))^$B$6-1)/((1+($B$15-$B$16))^(1/52)-1))*(1+((1+($B$15-$B$16))^(1/52)-1))^(52-$B$6)))*(1+MAX(($B$15-$B$16)-Assumptions!$E$61,-0.99))+($B$12/$B$6)*IF(ABS(((1+MAX(($B$15-$B$16)-Assumptions!$E$61,-0.99))^(1/52)-1))&lt;0.0000001,$B$6,(((1+((1+MAX(($B$15-$B$16)-Assumptions!$E$61,-0.99))^(1/52)-1))^$B$6-1)/((1+MAX(($B$15-$B$16)-Assumptions!$E$61,-0.99))^(1/52)-1))*(1+((1+MAX(($B$15-$B$16)-Assumptions!$E$61,-0.99))^(1/52)-1))^(52-$B$6)))*(1+MAX(($B$15-$B$16)-Assumptions!$E$62,-0.99))+($B$12/$B$6)*IF(ABS(((1+MAX(($B$15-$B$16)-Assumptions!$E$62,-0.99))^(1/52)-1))&lt;0.0000001,$B$6,(((1+((1+MAX(($B$15-$B$16)-Assumptions!$E$62,-0.99))^(1/52)-1))^$B$6-1)/((1+MAX(($B$15-$B$16)-Assumptions!$E$62,-0.99))^(1/52)-1))*(1+((1+MAX(($B$15-$B$16)-Assumptions!$E$62,-0.99))^(1/52)-1))^(52-$B$6))))-B26</x:f>
        <x:v>48.766406275291956</x:v>
      </x:c>
      <x:c r="C27" s="225" t="n">
        <x:f>((((((0*(1+($C$15-$C$16))+($C$12/$C$6)*IF(ABS(((1+($C$15-$C$16))^(1/52)-1))&lt;0.0000001,$C$6,(((1+((1+($C$15-$C$16))^(1/52)-1))^$C$6-1)/((1+($C$15-$C$16))^(1/52)-1))*(1+((1+($C$15-$C$16))^(1/52)-1))^(52-$C$6)))*(1+($C$15-$C$16))+($C$12/$C$6)*IF(ABS(((1+($C$15-$C$16))^(1/52)-1))&lt;0.0000001,$C$6,(((1+((1+($C$15-$C$16))^(1/52)-1))^$C$6-1)/((1+($C$15-$C$16))^(1/52)-1))*(1+((1+($C$15-$C$16))^(1/52)-1))^(52-$C$6)))*(1+($C$15-$C$16))+($C$12/$C$6)*IF(ABS(((1+($C$15-$C$16))^(1/52)-1))&lt;0.0000001,$C$6,(((1+((1+($C$15-$C$16))^(1/52)-1))^$C$6-1)/((1+($C$15-$C$16))^(1/52)-1))*(1+((1+($C$15-$C$16))^(1/52)-1))^(52-$C$6)))*(1+MAX(($C$15-$C$16)-Assumptions!$E$61,-0.99))+($C$12/$C$6)*IF(ABS(((1+MAX(($C$15-$C$16)-Assumptions!$E$61,-0.99))^(1/52)-1))&lt;0.0000001,$C$6,(((1+((1+MAX(($C$15-$C$16)-Assumptions!$E$61,-0.99))^(1/52)-1))^$C$6-1)/((1+MAX(($C$15-$C$16)-Assumptions!$E$61,-0.99))^(1/52)-1))*(1+((1+MAX(($C$15-$C$16)-Assumptions!$E$61,-0.99))^(1/52)-1))^(52-$C$6)))*(1+MAX(($C$15-$C$16)-Assumptions!$E$62,-0.99))+($C$12/$C$6)*IF(ABS(((1+MAX(($C$15-$C$16)-Assumptions!$E$62,-0.99))^(1/52)-1))&lt;0.0000001,$C$6,(((1+((1+MAX(($C$15-$C$16)-Assumptions!$E$62,-0.99))^(1/52)-1))^$C$6-1)/((1+MAX(($C$15-$C$16)-Assumptions!$E$62,-0.99))^(1/52)-1))*(1+((1+MAX(($C$15-$C$16)-Assumptions!$E$62,-0.99))^(1/52)-1))^(52-$C$6))))-C26</x:f>
        <x:v>209.42905312744006</x:v>
      </x:c>
      <x:c r="D27" s="225" t="n">
        <x:f>((((((0*(1+($D$15-$D$16))+($D$12/$D$6)*IF(ABS(((1+($D$15-$D$16))^(1/52)-1))&lt;0.0000001,$D$6,(((1+((1+($D$15-$D$16))^(1/52)-1))^$D$6-1)/((1+($D$15-$D$16))^(1/52)-1))*(1+((1+($D$15-$D$16))^(1/52)-1))^(52-$D$6)))*(1+($D$15-$D$16))+($D$12/$D$6)*IF(ABS(((1+($D$15-$D$16))^(1/52)-1))&lt;0.0000001,$D$6,(((1+((1+($D$15-$D$16))^(1/52)-1))^$D$6-1)/((1+($D$15-$D$16))^(1/52)-1))*(1+((1+($D$15-$D$16))^(1/52)-1))^(52-$D$6)))*(1+($D$15-$D$16))+($D$12/$D$6)*IF(ABS(((1+($D$15-$D$16))^(1/52)-1))&lt;0.0000001,$D$6,(((1+((1+($D$15-$D$16))^(1/52)-1))^$D$6-1)/((1+($D$15-$D$16))^(1/52)-1))*(1+((1+($D$15-$D$16))^(1/52)-1))^(52-$D$6)))*(1+MAX(($D$15-$D$16)-Assumptions!$E$61,-0.99))+($D$12/$D$6)*IF(ABS(((1+MAX(($D$15-$D$16)-Assumptions!$E$61,-0.99))^(1/52)-1))&lt;0.0000001,$D$6,(((1+((1+MAX(($D$15-$D$16)-Assumptions!$E$61,-0.99))^(1/52)-1))^$D$6-1)/((1+MAX(($D$15-$D$16)-Assumptions!$E$61,-0.99))^(1/52)-1))*(1+((1+MAX(($D$15-$D$16)-Assumptions!$E$61,-0.99))^(1/52)-1))^(52-$D$6)))*(1+MAX(($D$15-$D$16)-Assumptions!$E$62,-0.99))+($D$12/$D$6)*IF(ABS(((1+MAX(($D$15-$D$16)-Assumptions!$E$62,-0.99))^(1/52)-1))&lt;0.0000001,$D$6,(((1+((1+MAX(($D$15-$D$16)-Assumptions!$E$62,-0.99))^(1/52)-1))^$D$6-1)/((1+MAX(($D$15-$D$16)-Assumptions!$E$62,-0.99))^(1/52)-1))*(1+((1+MAX(($D$15-$D$16)-Assumptions!$E$62,-0.99))^(1/52)-1))^(52-$D$6))))-D26</x:f>
        <x:v>452.5330349791475</x:v>
      </x:c>
      <x:c r="E27" s="225" t="n">
        <x:f>((((((0*(1+($E$15-$E$16))+($E$12/$E$6)*IF(ABS(((1+($E$15-$E$16))^(1/52)-1))&lt;0.0000001,$E$6,(((1+((1+($E$15-$E$16))^(1/52)-1))^$E$6-1)/((1+($E$15-$E$16))^(1/52)-1))*(1+((1+($E$15-$E$16))^(1/52)-1))^(52-$E$6)))*(1+($E$15-$E$16))+($E$12/$E$6)*IF(ABS(((1+($E$15-$E$16))^(1/52)-1))&lt;0.0000001,$E$6,(((1+((1+($E$15-$E$16))^(1/52)-1))^$E$6-1)/((1+($E$15-$E$16))^(1/52)-1))*(1+((1+($E$15-$E$16))^(1/52)-1))^(52-$E$6)))*(1+($E$15-$E$16))+($E$12/$E$6)*IF(ABS(((1+($E$15-$E$16))^(1/52)-1))&lt;0.0000001,$E$6,(((1+((1+($E$15-$E$16))^(1/52)-1))^$E$6-1)/((1+($E$15-$E$16))^(1/52)-1))*(1+((1+($E$15-$E$16))^(1/52)-1))^(52-$E$6)))*(1+MAX(($E$15-$E$16)-Assumptions!$E$61,-0.99))+($E$12/$E$6)*IF(ABS(((1+MAX(($E$15-$E$16)-Assumptions!$E$61,-0.99))^(1/52)-1))&lt;0.0000001,$E$6,(((1+((1+MAX(($E$15-$E$16)-Assumptions!$E$61,-0.99))^(1/52)-1))^$E$6-1)/((1+MAX(($E$15-$E$16)-Assumptions!$E$61,-0.99))^(1/52)-1))*(1+((1+MAX(($E$15-$E$16)-Assumptions!$E$61,-0.99))^(1/52)-1))^(52-$E$6)))*(1+MAX(($E$15-$E$16)-Assumptions!$E$62,-0.99))+($E$12/$E$6)*IF(ABS(((1+MAX(($E$15-$E$16)-Assumptions!$E$62,-0.99))^(1/52)-1))&lt;0.0000001,$E$6,(((1+((1+MAX(($E$15-$E$16)-Assumptions!$E$62,-0.99))^(1/52)-1))^$E$6-1)/((1+MAX(($E$15-$E$16)-Assumptions!$E$62,-0.99))^(1/52)-1))*(1+((1+MAX(($E$15-$E$16)-Assumptions!$E$62,-0.99))^(1/52)-1))^(52-$E$6))))-E26</x:f>
        <x:v>322.19854327298526</x:v>
      </x:c>
      <x:c r="F27" s="583" t="str">
        <x:v>NZD</x:v>
      </x:c>
      <x:c r="G27" s="26"/>
      <x:c r="H27" s="26"/>
      <x:c r="I27" s="26"/>
      <x:c r="J27" s="26"/>
      <x:c r="K27" s="26"/>
      <x:c r="L27" s="26"/>
      <x:c r="M27" s="26"/>
    </x:row>
    <x:row r="28">
      <x:c r="A28" s="166" t="str">
        <x:v>Net investment earnings</x:v>
      </x:c>
      <x:c r="B28" s="225" t="n">
        <x:f>B26-B23</x:f>
        <x:v>240.0602665076658</x:v>
      </x:c>
      <x:c r="C28" s="225" t="n">
        <x:f>C26-C23</x:f>
        <x:v>931.574885879425</x:v>
      </x:c>
      <x:c r="D28" s="225" t="n">
        <x:f>D26-D23</x:f>
        <x:v>1920.8981777950503</x:v>
      </x:c>
      <x:c r="E28" s="225" t="n">
        <x:f>E26-E23</x:f>
        <x:v>1433.192132122189</x:v>
      </x:c>
      <x:c r="F28" s="583" t="str">
        <x:v>NZD</x:v>
      </x:c>
      <x:c r="G28" s="26"/>
      <x:c r="H28" s="26"/>
      <x:c r="I28" s="26"/>
      <x:c r="J28" s="26"/>
      <x:c r="K28" s="26"/>
      <x:c r="L28" s="26"/>
      <x:c r="M28" s="26"/>
    </x:row>
    <x:row r="29">
      <x:c r="A29" s="166" t="str">
        <x:v>Closing balance in 2026 purchasing-power terms</x:v>
      </x:c>
      <x:c r="B29" s="225" t="n">
        <x:f>B26/PRODUCT(1+Assumptions!$E$94:Assumptions!$E$98)</x:f>
        <x:v>5528.846375876876</x:v>
      </x:c>
      <x:c r="C29" s="225" t="n">
        <x:f>C26/PRODUCT(1+Assumptions!$E$94:Assumptions!$E$98)</x:f>
        <x:v>9559.88837804382</x:v>
      </x:c>
      <x:c r="D29" s="225" t="n">
        <x:f>D26/PRODUCT(1+Assumptions!$E$94:Assumptions!$E$98)</x:f>
        <x:v>12996.039180717828</x:v>
      </x:c>
      <x:c r="E29" s="225" t="n">
        <x:f>E26/PRODUCT(1+Assumptions!$E$94:Assumptions!$E$98)</x:f>
        <x:v>14707.520581605873</x:v>
      </x:c>
      <x:c r="F29" s="583" t="str">
        <x:v>NZD real</x:v>
      </x:c>
      <x:c r="G29" s="26"/>
      <x:c r="H29" s="26"/>
      <x:c r="I29" s="26"/>
      <x:c r="J29" s="26"/>
      <x:c r="K29" s="26"/>
      <x:c r="L29" s="26"/>
      <x:c r="M29" s="26"/>
    </x:row>
    <x:row r="30">
      <x:c r="A30" s="166" t="str">
        <x:v>Expected approved education or training costs paid</x:v>
      </x:c>
      <x:c r="B30" s="225" t="n">
        <x:f>MIN(B26,Assumptions!$D$64)*(Assumptions!$D$70+Assumptions!$D$71)*Assumptions!$D$72</x:f>
        <x:v>2128.169511811891</x:v>
      </x:c>
      <x:c r="C30" s="225" t="n">
        <x:f>MIN(C26,Assumptions!$E$64)*(Assumptions!$E$70+Assumptions!$E$71)*Assumptions!$E$72</x:f>
        <x:v>5725.324138831373</x:v>
      </x:c>
      <x:c r="D30" s="225" t="n">
        <x:f>MIN(D26,Assumptions!$F$64)*(Assumptions!$F$70+Assumptions!$F$71)*Assumptions!$F$72</x:f>
        <x:v>10455.046688012439</x:v>
      </x:c>
      <x:c r="E30" s="225" t="n">
        <x:f>MIN(E26,Assumptions!$E$64)*(Assumptions!$E$70+Assumptions!$E$71)*Assumptions!$E$72</x:f>
        <x:v>8808.190982817494</x:v>
      </x:c>
      <x:c r="F30" s="583" t="str">
        <x:v>NZD</x:v>
      </x:c>
      <x:c r="G30" s="26"/>
      <x:c r="H30" s="26"/>
      <x:c r="I30" s="26"/>
      <x:c r="J30" s="26"/>
      <x:c r="K30" s="26"/>
      <x:c r="L30" s="26"/>
      <x:c r="M30" s="26"/>
    </x:row>
    <x:row r="31">
      <x:c r="A31" s="588" t="str">
        <x:v>Potential student-loan principal displaced</x:v>
      </x:c>
      <x:c r="B31" s="589" t="n">
        <x:f>B30*Assumptions!$D$73*Assumptions!$D$74</x:f>
        <x:v>574.6057681892105</x:v>
      </x:c>
      <x:c r="C31" s="589" t="n">
        <x:f>C30*Assumptions!$E$73*Assumptions!$E$74</x:f>
        <x:v>2748.155586639059</x:v>
      </x:c>
      <x:c r="D31" s="589" t="n">
        <x:f>D30*Assumptions!$F$73*Assumptions!$F$74</x:f>
        <x:v>7449.220765208863</x:v>
      </x:c>
      <x:c r="E31" s="589" t="n">
        <x:f>E30*Assumptions!$E$73*Assumptions!$E$74</x:f>
        <x:v>4227.931671752397</x:v>
      </x:c>
      <x:c r="F31" s="583" t="str">
        <x:v>NZD</x:v>
      </x:c>
      <x:c r="G31" s="26"/>
      <x:c r="H31" s="26"/>
      <x:c r="I31" s="26"/>
      <x:c r="J31" s="26"/>
      <x:c r="K31" s="26"/>
      <x:c r="L31" s="26"/>
      <x:c r="M31" s="26"/>
    </x:row>
    <x:row r="32">
      <x:c r="A32" s="166" t="str">
        <x:v>Expected remaining protected balance</x:v>
      </x:c>
      <x:c r="B32" s="225" t="n">
        <x:f>MAX(0,B26-B30)</x:f>
        <x:v>4049.390754695775</x:v>
      </x:c>
      <x:c r="C32" s="225" t="n">
        <x:f>MAX(0,C26-C30)</x:f>
        <x:v>4956.250747048052</x:v>
      </x:c>
      <x:c r="D32" s="225" t="n">
        <x:f>MAX(0,D26-D30)</x:f>
        <x:v>4065.8514897826117</x:v>
      </x:c>
      <x:c r="E32" s="225" t="n">
        <x:f>MAX(0,E26-E30)</x:f>
        <x:v>7625.001149304695</x:v>
      </x:c>
      <x:c r="F32" s="583" t="str">
        <x:v>NZD</x:v>
      </x:c>
      <x:c r="G32" s="26"/>
      <x:c r="H32" s="26"/>
      <x:c r="I32" s="26"/>
      <x:c r="J32" s="26"/>
      <x:c r="K32" s="26"/>
      <x:c r="L32" s="26"/>
      <x:c r="M32" s="26"/>
    </x:row>
    <x:row r="33">
      <x:c r="A33" s="166" t="str">
        <x:v>Education-capital coverage</x:v>
      </x:c>
      <x:c r="B33" s="584" t="n">
        <x:f>B30/Assumptions!$D$64</x:f>
        <x:v>0.14187796745412606</x:v>
      </x:c>
      <x:c r="C33" s="584" t="n">
        <x:f>C30/Assumptions!$E$64</x:f>
        <x:v>0.2290129655532549</x:v>
      </x:c>
      <x:c r="D33" s="584" t="n">
        <x:f>D30/Assumptions!$F$64</x:f>
        <x:v>0.29871561965749827</x:v>
      </x:c>
      <x:c r="E33" s="584" t="n">
        <x:f>E30/Assumptions!$E$64</x:f>
        <x:v>0.3523276393126998</x:v>
      </x:c>
      <x:c r="F33" s="583" t="str">
        <x:v>%</x:v>
      </x:c>
      <x:c r="G33" s="26"/>
      <x:c r="H33" s="26"/>
      <x:c r="I33" s="26"/>
      <x:c r="J33" s="26"/>
      <x:c r="K33" s="26"/>
      <x:c r="L33" s="26"/>
      <x:c r="M33" s="26"/>
    </x:row>
    <x:row r="34">
      <x:c r="A34" s="166" t="str">
        <x:v>Debt-displacement percentage</x:v>
      </x:c>
      <x:c r="B34" s="584" t="n">
        <x:f>B31/Assumptions!$D$68</x:f>
        <x:v>0.03272801550317312</x:v>
      </x:c>
      <x:c r="C34" s="584" t="n">
        <x:f>C31/Assumptions!$E$68</x:f>
        <x:v>0.15652762924412253</x:v>
      </x:c>
      <x:c r="D34" s="584" t="n">
        <x:f>D31/Assumptions!$F$68</x:f>
        <x:v>0.42428779206065176</x:v>
      </x:c>
      <x:c r="E34" s="584" t="n">
        <x:f>E31/Assumptions!$E$68</x:f>
        <x:v>0.24081173729864994</x:v>
      </x:c>
      <x:c r="F34" s="583" t="str">
        <x:v>%</x:v>
      </x:c>
      <x:c r="G34" s="26"/>
      <x:c r="H34" s="26"/>
      <x:c r="I34" s="26"/>
      <x:c r="J34" s="26"/>
      <x:c r="K34" s="26"/>
      <x:c r="L34" s="26"/>
      <x:c r="M34" s="26"/>
    </x:row>
    <x:row r="35">
      <x:c r="A35" s="166" t="str">
        <x:v>Likely repayment years avoided</x:v>
      </x:c>
      <x:c r="B35" s="590" t="n">
        <x:f>MIN(Assumptions!$D$77,B34*Assumptions!$D$77)</x:f>
        <x:v>0.18000408526745215</x:v>
      </x:c>
      <x:c r="C35" s="590" t="n">
        <x:f>MIN(Assumptions!$E$77,C34*Assumptions!$E$77)</x:f>
        <x:v>1.0174295900867965</x:v>
      </x:c>
      <x:c r="D35" s="590" t="n">
        <x:f>MIN(Assumptions!$F$77,D34*Assumptions!$F$77)</x:f>
        <x:v>3.394302336485214</x:v>
      </x:c>
      <x:c r="E35" s="590" t="n">
        <x:f>MIN(Assumptions!$E$77,E34*Assumptions!$E$77)</x:f>
        <x:v>1.5652762924412247</x:v>
      </x:c>
      <x:c r="F35" s="583" t="str">
        <x:v>years</x:v>
      </x:c>
      <x:c r="G35" s="26"/>
      <x:c r="H35" s="26"/>
      <x:c r="I35" s="26"/>
      <x:c r="J35" s="26"/>
      <x:c r="K35" s="26"/>
      <x:c r="L35" s="26"/>
      <x:c r="M35" s="26"/>
    </x:row>
    <x:row r="36">
      <x:c r="A36" s="166" t="str">
        <x:v>Potential overseas-borrower interest avoided</x:v>
      </x:c>
      <x:c r="B36" s="225" t="n">
        <x:f>B31*Assumptions!$D$78*((1+Assumptions!$D$79)^Assumptions!$D$77-1)</x:f>
        <x:v>20.282935324233453</x:v>
      </x:c>
      <x:c r="C36" s="225" t="n">
        <x:f>C31*Assumptions!$E$78*((1+Assumptions!$E$79)^Assumptions!$E$77-1)</x:f>
        <x:v>216.61172572521508</x:v>
      </x:c>
      <x:c r="D36" s="225" t="n">
        <x:f>D31*Assumptions!$F$78*((1+Assumptions!$F$79)^Assumptions!$F$77-1)</x:f>
        <x:v>1266.411285323004</x:v>
      </x:c>
      <x:c r="E36" s="225" t="n">
        <x:f>E31*Assumptions!$E$78*((1+Assumptions!$E$79)^Assumptions!$E$77-1)</x:f>
        <x:v>333.24880880802306</x:v>
      </x:c>
      <x:c r="F36" s="583" t="str">
        <x:v>NZD sensitivity</x:v>
      </x:c>
      <x:c r="G36" s="26"/>
      <x:c r="H36" s="26"/>
      <x:c r="I36" s="26"/>
      <x:c r="J36" s="26"/>
      <x:c r="K36" s="26"/>
      <x:c r="L36" s="26"/>
      <x:c r="M36" s="26"/>
    </x:row>
    <x:row r="37">
      <x:c r="A37" s="166" t="str">
        <x:v>Investment return on locked contributions</x:v>
      </x:c>
      <x:c r="B37" s="584" t="n">
        <x:f>IF(B23=0,0,B28/B23)</x:f>
        <x:v>0.04043120278023845</x:v>
      </x:c>
      <x:c r="C37" s="584" t="n">
        <x:f>IF(C23=0,0,C28/C23)</x:f>
        <x:v>0.09554614214147948</x:v>
      </x:c>
      <x:c r="D37" s="584" t="n">
        <x:f>IF(D23=0,0,D28/D23)</x:f>
        <x:v>0.1524522363329405</x:v>
      </x:c>
      <x:c r="E37" s="584" t="n">
        <x:f>IF(E23=0,0,E28/E23)</x:f>
        <x:v>0.09554614214147926</x:v>
      </x:c>
      <x:c r="F37" s="583" t="str">
        <x:v>%</x:v>
      </x:c>
      <x:c r="G37" s="26"/>
      <x:c r="H37" s="26"/>
      <x:c r="I37" s="26"/>
      <x:c r="J37" s="26"/>
      <x:c r="K37" s="26"/>
      <x:c r="L37" s="26"/>
      <x:c r="M37" s="26"/>
    </x:row>
    <x:row r="38">
      <x:c r="A38" s="166" t="str">
        <x:v>Direct student resources — immediate cash plus protected account</x:v>
      </x:c>
      <x:c r="B38" s="225" t="n">
        <x:f>B22+B26</x:f>
        <x:v>12115.060266507666</x:v>
      </x:c>
      <x:c r="C38" s="225" t="n">
        <x:f>C22+C26</x:f>
        <x:v>20431.574885879425</x:v>
      </x:c>
      <x:c r="D38" s="225" t="n">
        <x:f>D22+D26</x:f>
        <x:v>27120.89817779505</x:v>
      </x:c>
      <x:c r="E38" s="225" t="n">
        <x:f>E22+E26</x:f>
        <x:v>31433.19213212219</x:v>
      </x:c>
      <x:c r="F38" s="583" t="str">
        <x:v>NZD</x:v>
      </x:c>
      <x:c r="G38" s="26"/>
      <x:c r="H38" s="26"/>
      <x:c r="I38" s="26"/>
      <x:c r="J38" s="26"/>
      <x:c r="K38" s="26"/>
      <x:c r="L38" s="26"/>
      <x:c r="M38" s="26"/>
    </x:row>
    <x:row r="39">
      <x:c r="A39" s="26"/>
      <x:c r="B39" s="26"/>
      <x:c r="C39" s="26"/>
      <x:c r="D39" s="26"/>
      <x:c r="E39" s="26"/>
      <x:c r="F39" s="26"/>
      <x:c r="G39" s="26"/>
      <x:c r="H39" s="26"/>
      <x:c r="I39" s="26"/>
      <x:c r="J39" s="26"/>
      <x:c r="K39" s="26"/>
      <x:c r="L39" s="26"/>
      <x:c r="M39" s="26"/>
    </x:row>
    <x:row r="40" ht="22" customHeight="1">
      <x:c r="A40" s="587" t="str">
        <x:v>Central average participant — annual accumulation using weekly deposits</x:v>
      </x:c>
      <x:c r="B40" s="587" t="str">
        <x:v>Central average participant — annual accumulation using weekly deposits</x:v>
      </x:c>
      <x:c r="C40" s="587" t="str">
        <x:v>Central average participant — annual accumulation using weekly deposits</x:v>
      </x:c>
      <x:c r="D40" s="587" t="str">
        <x:v>Central average participant — annual accumulation using weekly deposits</x:v>
      </x:c>
      <x:c r="E40" s="587" t="str">
        <x:v>Central average participant — annual accumulation using weekly deposits</x:v>
      </x:c>
      <x:c r="F40" s="587" t="str">
        <x:v>Central average participant — annual accumulation using weekly deposits</x:v>
      </x:c>
      <x:c r="G40" s="587" t="str">
        <x:v>Central average participant — annual accumulation using weekly deposits</x:v>
      </x:c>
      <x:c r="H40" s="587" t="str">
        <x:v>Central average participant — annual accumulation using weekly deposits</x:v>
      </x:c>
      <x:c r="I40" s="587" t="str">
        <x:v>Central average participant — annual accumulation using weekly deposits</x:v>
      </x:c>
      <x:c r="J40" s="587" t="str">
        <x:v>Central average participant — annual accumulation using weekly deposits</x:v>
      </x:c>
      <x:c r="K40" s="587" t="str">
        <x:v>Central average participant — annual accumulation using weekly deposits</x:v>
      </x:c>
      <x:c r="L40" s="587" t="str">
        <x:v>Central average participant — annual accumulation using weekly deposits</x:v>
      </x:c>
      <x:c r="M40" s="587" t="str">
        <x:v>Central average participant — annual accumulation using weekly deposits</x:v>
      </x:c>
    </x:row>
    <x:row r="41" ht="28" customHeight="1">
      <x:c r="A41" s="527" t="str">
        <x:v>Year</x:v>
      </x:c>
      <x:c r="B41" s="527" t="str">
        <x:v>Opening balance</x:v>
      </x:c>
      <x:c r="C41" s="527" t="str">
        <x:v>Annual contribution</x:v>
      </x:c>
      <x:c r="D41" s="527" t="str">
        <x:v>Gross return</x:v>
      </x:c>
      <x:c r="E41" s="527" t="str">
        <x:v>Fee drag</x:v>
      </x:c>
      <x:c r="F41" s="527" t="str">
        <x:v>Tax drag</x:v>
      </x:c>
      <x:c r="G41" s="527" t="str">
        <x:v>Net investment earnings</x:v>
      </x:c>
      <x:c r="H41" s="527" t="str">
        <x:v>Closing balance</x:v>
      </x:c>
      <x:c r="I41" s="527" t="str">
        <x:v>Lifecycle net return</x:v>
      </x:c>
      <x:c r="J41" s="26"/>
      <x:c r="K41" s="26"/>
      <x:c r="L41" s="26"/>
      <x:c r="M41" s="26"/>
    </x:row>
    <x:row r="42">
      <x:c r="A42" s="26" t="n">
        <x:v>1</x:v>
      </x:c>
      <x:c r="B42" s="225" t="n">
        <x:f>0</x:f>
        <x:v>0</x:v>
      </x:c>
      <x:c r="C42" s="225" t="n">
        <x:f>$C$12</x:f>
        <x:v>1950</x:v>
      </x:c>
      <x:c r="D42" s="225" t="n">
        <x:f>(B42*(1+$C$15)+(C42/$C$6)*IF(ABS(((1+$C$15)^(1/52)-1))&lt;0.0000001,$C$6,(((1+((1+$C$15)^(1/52)-1))^$C$6-1)/((1+$C$15)^(1/52)-1))*(1+((1+$C$15)^(1/52)-1))^(52-$C$6)))-B42-C42</x:f>
        <x:v>61.51879496281367</x:v>
      </x:c>
      <x:c r="E42" s="225" t="n">
        <x:f>(B42*(1+$C$15)+(C42/$C$6)*IF(ABS(((1+$C$15)^(1/52)-1))&lt;0.0000001,$C$6,(((1+((1+$C$15)^(1/52)-1))^$C$6-1)/((1+$C$15)^(1/52)-1))*(1+((1+$C$15)^(1/52)-1))^(52-$C$6)))-(B42*(1+($C$15-$C$16))+(C42/$C$6)*IF(ABS(((1+($C$15-$C$16))^(1/52)-1))&lt;0.0000001,$C$6,(((1+((1+($C$15-$C$16))^(1/52)-1))^$C$6-1)/((1+($C$15-$C$16))^(1/52)-1))*(1+((1+($C$15-$C$16))^(1/52)-1))^(52-$C$6)))</x:f>
        <x:v>5.817070001123511</x:v>
      </x:c>
      <x:c r="F42" s="225" t="n">
        <x:f>(B42*(1+($C$15-$C$16))+(C42/$C$6)*IF(ABS(((1+($C$15-$C$16))^(1/52)-1))&lt;0.0000001,$C$6,(((1+((1+($C$15-$C$16))^(1/52)-1))^$C$6-1)/((1+($C$15-$C$16))^(1/52)-1))*(1+((1+($C$15-$C$16))^(1/52)-1))^(52-$C$6)))-(B42*(1+$C$18)+(C42/$C$6)*IF(ABS(((1+$C$18)^(1/52)-1))&lt;0.0000001,$C$6,(((1+((1+$C$18)^(1/52)-1))^$C$6-1)/((1+$C$18)^(1/52)-1))*(1+((1+$C$18)^(1/52)-1))^(52-$C$6)))</x:f>
        <x:v>8.741822247771552</x:v>
      </x:c>
      <x:c r="G42" s="225" t="n">
        <x:f>(B42*(1+$C$18)+(C42/$C$6)*IF(ABS(((1+$C$18)^(1/52)-1))&lt;0.0000001,$C$6,(((1+((1+$C$18)^(1/52)-1))^$C$6-1)/((1+$C$18)^(1/52)-1))*(1+((1+$C$18)^(1/52)-1))^(52-$C$6)))-B42-C42</x:f>
        <x:v>46.95990271391861</x:v>
      </x:c>
      <x:c r="H42" s="225" t="n">
        <x:f>(B42*(1+$C$18)+(C42/$C$6)*IF(ABS(((1+$C$18)^(1/52)-1))&lt;0.0000001,$C$6,(((1+((1+$C$18)^(1/52)-1))^$C$6-1)/((1+$C$18)^(1/52)-1))*(1+((1+$C$18)^(1/52)-1))^(52-$C$6)))</x:f>
        <x:v>1996.9599027139186</x:v>
      </x:c>
      <x:c r="I42" s="584" t="n">
        <x:f>$C$18</x:f>
        <x:v>0.04</x:v>
      </x:c>
      <x:c r="J42" s="26"/>
      <x:c r="K42" s="26"/>
      <x:c r="L42" s="26"/>
      <x:c r="M42" s="26"/>
    </x:row>
    <x:row r="43">
      <x:c r="A43" s="26" t="n">
        <x:v>2</x:v>
      </x:c>
      <x:c r="B43" s="225" t="n">
        <x:f>H42</x:f>
        <x:v>1996.9599027139186</x:v>
      </x:c>
      <x:c r="C43" s="225" t="n">
        <x:f>$C$12</x:f>
        <x:v>1950</x:v>
      </x:c>
      <x:c r="D43" s="225" t="n">
        <x:f>(B43*(1+$C$15)+(C43/$C$6)*IF(ABS(((1+$C$15)^(1/52)-1))&lt;0.0000001,$C$6,(((1+((1+$C$15)^(1/52)-1))^$C$6-1)/((1+$C$15)^(1/52)-1))*(1+((1+$C$15)^(1/52)-1))^(52-$C$6)))-B43-C43</x:f>
        <x:v>166.35918985529497</x:v>
      </x:c>
      <x:c r="E43" s="225" t="n">
        <x:f>(B43*(1+$C$15)+(C43/$C$6)*IF(ABS(((1+$C$15)^(1/52)-1))&lt;0.0000001,$C$6,(((1+((1+$C$15)^(1/52)-1))^$C$6-1)/((1+$C$15)^(1/52)-1))*(1+((1+$C$15)^(1/52)-1))^(52-$C$6)))-(B43*(1+($C$15-$C$16))+(C43/$C$6)*IF(ABS(((1+($C$15-$C$16))^(1/52)-1))&lt;0.0000001,$C$6,(((1+((1+($C$15-$C$16))^(1/52)-1))^$C$6-1)/((1+($C$15-$C$16))^(1/52)-1))*(1+((1+($C$15-$C$16))^(1/52)-1))^(52-$C$6)))</x:f>
        <x:v>15.801869514693863</x:v>
      </x:c>
      <x:c r="F43" s="225" t="n">
        <x:f>(B43*(1+($C$15-$C$16))+(C43/$C$6)*IF(ABS(((1+($C$15-$C$16))^(1/52)-1))&lt;0.0000001,$C$6,(((1+((1+($C$15-$C$16))^(1/52)-1))^$C$6-1)/((1+($C$15-$C$16))^(1/52)-1))*(1+((1+($C$15-$C$16))^(1/52)-1))^(52-$C$6)))-(B43*(1+$C$18)+(C43/$C$6)*IF(ABS(((1+$C$18)^(1/52)-1))&lt;0.0000001,$C$6,(((1+((1+$C$18)^(1/52)-1))^$C$6-1)/((1+$C$18)^(1/52)-1))*(1+((1+$C$18)^(1/52)-1))^(52-$C$6)))</x:f>
        <x:v>23.719021518125373</x:v>
      </x:c>
      <x:c r="G43" s="225" t="n">
        <x:f>(B43*(1+$C$18)+(C43/$C$6)*IF(ABS(((1+$C$18)^(1/52)-1))&lt;0.0000001,$C$6,(((1+((1+$C$18)^(1/52)-1))^$C$6-1)/((1+$C$18)^(1/52)-1))*(1+((1+$C$18)^(1/52)-1))^(52-$C$6)))-B43-C43</x:f>
        <x:v>126.83829882247574</x:v>
      </x:c>
      <x:c r="H43" s="225" t="n">
        <x:f>(B43*(1+$C$18)+(C43/$C$6)*IF(ABS(((1+$C$18)^(1/52)-1))&lt;0.0000001,$C$6,(((1+((1+$C$18)^(1/52)-1))^$C$6-1)/((1+$C$18)^(1/52)-1))*(1+((1+$C$18)^(1/52)-1))^(52-$C$6)))</x:f>
        <x:v>4073.798201536394</x:v>
      </x:c>
      <x:c r="I43" s="584" t="n">
        <x:f>$C$18</x:f>
        <x:v>0.04</x:v>
      </x:c>
      <x:c r="J43" s="26"/>
      <x:c r="K43" s="26"/>
      <x:c r="L43" s="26"/>
      <x:c r="M43" s="26"/>
    </x:row>
    <x:row r="44">
      <x:c r="A44" s="26" t="n">
        <x:v>3</x:v>
      </x:c>
      <x:c r="B44" s="225" t="n">
        <x:f>H43</x:f>
        <x:v>4073.798201536394</x:v>
      </x:c>
      <x:c r="C44" s="225" t="n">
        <x:f>$C$12</x:f>
        <x:v>1950</x:v>
      </x:c>
      <x:c r="D44" s="225" t="n">
        <x:f>(B44*(1+$C$15)+(C44/$C$6)*IF(ABS(((1+$C$15)^(1/52)-1))&lt;0.0000001,$C$6,(((1+((1+$C$15)^(1/52)-1))^$C$6-1)/((1+$C$15)^(1/52)-1))*(1+((1+$C$15)^(1/52)-1))^(52-$C$6)))-B44-C44</x:f>
        <x:v>275.39320054347445</x:v>
      </x:c>
      <x:c r="E44" s="225" t="n">
        <x:f>(B44*(1+$C$15)+(C44/$C$6)*IF(ABS(((1+$C$15)^(1/52)-1))&lt;0.0000001,$C$6,(((1+((1+$C$15)^(1/52)-1))^$C$6-1)/((1+$C$15)^(1/52)-1))*(1+((1+$C$15)^(1/52)-1))^(52-$C$6)))-(B44*(1+($C$15-$C$16))+(C44/$C$6)*IF(ABS(((1+($C$15-$C$16))^(1/52)-1))&lt;0.0000001,$C$6,(((1+((1+($C$15-$C$16))^(1/52)-1))^$C$6-1)/((1+($C$15-$C$16))^(1/52)-1))*(1+((1+($C$15-$C$16))^(1/52)-1))^(52-$C$6)))</x:f>
        <x:v>26.186061008805154</x:v>
      </x:c>
      <x:c r="F44" s="225" t="n">
        <x:f>(B44*(1+($C$15-$C$16))+(C44/$C$6)*IF(ABS(((1+($C$15-$C$16))^(1/52)-1))&lt;0.0000001,$C$6,(((1+((1+($C$15-$C$16))^(1/52)-1))^$C$6-1)/((1+($C$15-$C$16))^(1/52)-1))*(1+((1+($C$15-$C$16))^(1/52)-1))^(52-$C$6)))-(B44*(1+$C$18)+(C44/$C$6)*IF(ABS(((1+$C$18)^(1/52)-1))&lt;0.0000001,$C$6,(((1+((1+$C$18)^(1/52)-1))^$C$6-1)/((1+$C$18)^(1/52)-1))*(1+((1+$C$18)^(1/52)-1))^(52-$C$6)))</x:f>
        <x:v>39.29530875929504</x:v>
      </x:c>
      <x:c r="G44" s="225" t="n">
        <x:f>(B44*(1+$C$18)+(C44/$C$6)*IF(ABS(((1+$C$18)^(1/52)-1))&lt;0.0000001,$C$6,(((1+((1+$C$18)^(1/52)-1))^$C$6-1)/((1+$C$18)^(1/52)-1))*(1+((1+$C$18)^(1/52)-1))^(52-$C$6)))-B44-C44</x:f>
        <x:v>209.91183077537426</x:v>
      </x:c>
      <x:c r="H44" s="225" t="n">
        <x:f>(B44*(1+$C$18)+(C44/$C$6)*IF(ABS(((1+$C$18)^(1/52)-1))&lt;0.0000001,$C$6,(((1+((1+$C$18)^(1/52)-1))^$C$6-1)/((1+$C$18)^(1/52)-1))*(1+((1+$C$18)^(1/52)-1))^(52-$C$6)))</x:f>
        <x:v>6233.710032311768</x:v>
      </x:c>
      <x:c r="I44" s="584" t="n">
        <x:f>$C$18</x:f>
        <x:v>0.04</x:v>
      </x:c>
      <x:c r="J44" s="26"/>
      <x:c r="K44" s="26"/>
      <x:c r="L44" s="26"/>
      <x:c r="M44" s="26"/>
    </x:row>
    <x:row r="45">
      <x:c r="A45" s="26" t="n">
        <x:v>4</x:v>
      </x:c>
      <x:c r="B45" s="225" t="n">
        <x:f>H44</x:f>
        <x:v>6233.710032311768</x:v>
      </x:c>
      <x:c r="C45" s="225" t="n">
        <x:f>$C$12</x:f>
        <x:v>1950</x:v>
      </x:c>
      <x:c r="D45" s="225" t="n">
        <x:f>(B45*(1+MAX($C$15-Assumptions!$E$61,-0.99))+(C45/$C$6)*IF(ABS(((1+MAX($C$15-Assumptions!$E$61,-0.99))^(1/52)-1))&lt;0.0000001,$C$6,(((1+((1+MAX($C$15-Assumptions!$E$61,-0.99))^(1/52)-1))^$C$6-1)/((1+MAX($C$15-Assumptions!$E$61,-0.99))^(1/52)-1))*(1+((1+MAX($C$15-Assumptions!$E$61,-0.99))^(1/52)-1))^(52-$C$6)))-B45-C45</x:f>
        <x:v>351.8029514965001</x:v>
      </x:c>
      <x:c r="E45" s="225" t="n">
        <x:f>(B45*(1+MAX($C$15-Assumptions!$E$61,-0.99))+(C45/$C$6)*IF(ABS(((1+MAX($C$15-Assumptions!$E$61,-0.99))^(1/52)-1))&lt;0.0000001,$C$6,(((1+((1+MAX($C$15-Assumptions!$E$61,-0.99))^(1/52)-1))^$C$6-1)/((1+MAX($C$15-Assumptions!$E$61,-0.99))^(1/52)-1))*(1+((1+MAX($C$15-Assumptions!$E$61,-0.99))^(1/52)-1))^(52-$C$6)))-(B45*(1+MAX(($C$15-$C$16)-Assumptions!$E$61,-0.99))+(C45/$C$6)*IF(ABS(((1+MAX(($C$15-$C$16)-Assumptions!$E$61,-0.99))^(1/52)-1))&lt;0.0000001,$C$6,(((1+((1+MAX(($C$15-$C$16)-Assumptions!$E$61,-0.99))^(1/52)-1))^$C$6-1)/((1+MAX(($C$15-$C$16)-Assumptions!$E$61,-0.99))^(1/52)-1))*(1+((1+MAX(($C$15-$C$16)-Assumptions!$E$61,-0.99))^(1/52)-1))^(52-$C$6)))</x:f>
        <x:v>36.99425936751322</x:v>
      </x:c>
      <x:c r="F45" s="225" t="n">
        <x:f>(B45*(1+MAX(($C$15-$C$16)-Assumptions!$E$61,-0.99))+(C45/$C$6)*IF(ABS(((1+MAX(($C$15-$C$16)-Assumptions!$E$61,-0.99))^(1/52)-1))&lt;0.0000001,$C$6,(((1+((1+MAX(($C$15-$C$16)-Assumptions!$E$61,-0.99))^(1/52)-1))^$C$6-1)/((1+MAX(($C$15-$C$16)-Assumptions!$E$61,-0.99))^(1/52)-1))*(1+((1+MAX(($C$15-$C$16)-Assumptions!$E$61,-0.99))^(1/52)-1))^(52-$C$6)))-(B45*(1+MAX($C$18-Assumptions!$E$61,-0.99))+(C45/$C$6)*IF(ABS(((1+MAX($C$18-Assumptions!$E$61,-0.99))^(1/52)-1))&lt;0.0000001,$C$6,(((1+((1+MAX($C$18-Assumptions!$E$61,-0.99))^(1/52)-1))^$C$6-1)/((1+MAX($C$18-Assumptions!$E$61,-0.99))^(1/52)-1))*(1+((1+MAX($C$18-Assumptions!$E$61,-0.99))^(1/52)-1))^(52-$C$6)))</x:f>
        <x:v>55.50771911043739</x:v>
      </x:c>
      <x:c r="G45" s="225" t="n">
        <x:f>(B45*(1+MAX($C$18-Assumptions!$E$61,-0.99))+(C45/$C$6)*IF(ABS(((1+MAX($C$18-Assumptions!$E$61,-0.99))^(1/52)-1))&lt;0.0000001,$C$6,(((1+((1+MAX($C$18-Assumptions!$E$61,-0.99))^(1/52)-1))^$C$6-1)/((1+MAX($C$18-Assumptions!$E$61,-0.99))^(1/52)-1))*(1+((1+MAX($C$18-Assumptions!$E$61,-0.99))^(1/52)-1))^(52-$C$6)))-B45-C45</x:f>
        <x:v>259.3009730185495</x:v>
      </x:c>
      <x:c r="H45" s="225" t="n">
        <x:f>(B45*(1+MAX($C$18-Assumptions!$E$61,-0.99))+(C45/$C$6)*IF(ABS(((1+MAX($C$18-Assumptions!$E$61,-0.99))^(1/52)-1))&lt;0.0000001,$C$6,(((1+((1+MAX($C$18-Assumptions!$E$61,-0.99))^(1/52)-1))^$C$6-1)/((1+MAX($C$18-Assumptions!$E$61,-0.99))^(1/52)-1))*(1+((1+MAX($C$18-Assumptions!$E$61,-0.99))^(1/52)-1))^(52-$C$6)))</x:f>
        <x:v>8443.011005330318</x:v>
      </x:c>
      <x:c r="I45" s="584" t="n">
        <x:f>MAX($C$18-Assumptions!$E$61,-0.99)</x:f>
        <x:v>0.035</x:v>
      </x:c>
      <x:c r="J45" s="26"/>
      <x:c r="K45" s="26"/>
      <x:c r="L45" s="26"/>
      <x:c r="M45" s="26"/>
    </x:row>
    <x:row r="46">
      <x:c r="A46" s="26" t="n">
        <x:v>5</x:v>
      </x:c>
      <x:c r="B46" s="225" t="n">
        <x:f>H45</x:f>
        <x:v>8443.011005330318</x:v>
      </x:c>
      <x:c r="C46" s="225" t="n">
        <x:f>$C$12</x:f>
        <x:v>1950</x:v>
      </x:c>
      <x:c r="D46" s="225" t="n">
        <x:f>(B46*(1+MAX($C$15-Assumptions!$E$62,-0.99))+(C46/$C$6)*IF(ABS(((1+MAX($C$15-Assumptions!$E$62,-0.99))^(1/52)-1))&lt;0.0000001,$C$6,(((1+((1+MAX($C$15-Assumptions!$E$62,-0.99))^(1/52)-1))^$C$6-1)/((1+MAX($C$15-Assumptions!$E$62,-0.99))^(1/52)-1))*(1+((1+MAX($C$15-Assumptions!$E$62,-0.99))^(1/52)-1))^(52-$C$6)))-B46-C46</x:f>
        <x:v>408.70398348227536</x:v>
      </x:c>
      <x:c r="E46" s="225" t="n">
        <x:f>(B46*(1+MAX($C$15-Assumptions!$E$62,-0.99))+(C46/$C$6)*IF(ABS(((1+MAX($C$15-Assumptions!$E$62,-0.99))^(1/52)-1))&lt;0.0000001,$C$6,(((1+((1+MAX($C$15-Assumptions!$E$62,-0.99))^(1/52)-1))^$C$6-1)/((1+MAX($C$15-Assumptions!$E$62,-0.99))^(1/52)-1))*(1+((1+MAX($C$15-Assumptions!$E$62,-0.99))^(1/52)-1))^(52-$C$6)))-(B46*(1+MAX(($C$15-$C$16)-Assumptions!$E$62,-0.99))+(C46/$C$6)*IF(ABS(((1+MAX(($C$15-$C$16)-Assumptions!$E$62,-0.99))^(1/52)-1))&lt;0.0000001,$C$6,(((1+((1+MAX(($C$15-$C$16)-Assumptions!$E$62,-0.99))^(1/52)-1))^$C$6-1)/((1+MAX(($C$15-$C$16)-Assumptions!$E$62,-0.99))^(1/52)-1))*(1+((1+MAX(($C$15-$C$16)-Assumptions!$E$62,-0.99))^(1/52)-1))^(52-$C$6)))</x:f>
        <x:v>48.049463485245724</x:v>
      </x:c>
      <x:c r="F46" s="225" t="n">
        <x:f>(B46*(1+MAX(($C$15-$C$16)-Assumptions!$E$62,-0.99))+(C46/$C$6)*IF(ABS(((1+MAX(($C$15-$C$16)-Assumptions!$E$62,-0.99))^(1/52)-1))&lt;0.0000001,$C$6,(((1+((1+MAX(($C$15-$C$16)-Assumptions!$E$62,-0.99))^(1/52)-1))^$C$6-1)/((1+MAX(($C$15-$C$16)-Assumptions!$E$62,-0.99))^(1/52)-1))*(1+((1+MAX(($C$15-$C$16)-Assumptions!$E$62,-0.99))^(1/52)-1))^(52-$C$6)))-(B46*(1+MAX($C$18-Assumptions!$E$62,-0.99))+(C46/$C$6)*IF(ABS(((1+MAX($C$18-Assumptions!$E$62,-0.99))^(1/52)-1))&lt;0.0000001,$C$6,(((1+((1+MAX($C$18-Assumptions!$E$62,-0.99))^(1/52)-1))^$C$6-1)/((1+MAX($C$18-Assumptions!$E$62,-0.99))^(1/52)-1))*(1+((1+MAX($C$18-Assumptions!$E$62,-0.99))^(1/52)-1))^(52-$C$6)))</x:f>
        <x:v>72.09063944792251</x:v>
      </x:c>
      <x:c r="G46" s="225" t="n">
        <x:f>(B46*(1+MAX($C$18-Assumptions!$E$62,-0.99))+(C46/$C$6)*IF(ABS(((1+MAX($C$18-Assumptions!$E$62,-0.99))^(1/52)-1))&lt;0.0000001,$C$6,(((1+((1+MAX($C$18-Assumptions!$E$62,-0.99))^(1/52)-1))^$C$6-1)/((1+MAX($C$18-Assumptions!$E$62,-0.99))^(1/52)-1))*(1+((1+MAX($C$18-Assumptions!$E$62,-0.99))^(1/52)-1))^(52-$C$6)))-B46-C46</x:f>
        <x:v>288.5638805491071</x:v>
      </x:c>
      <x:c r="H46" s="225" t="n">
        <x:f>(B46*(1+MAX($C$18-Assumptions!$E$62,-0.99))+(C46/$C$6)*IF(ABS(((1+MAX($C$18-Assumptions!$E$62,-0.99))^(1/52)-1))&lt;0.0000001,$C$6,(((1+((1+MAX($C$18-Assumptions!$E$62,-0.99))^(1/52)-1))^$C$6-1)/((1+MAX($C$18-Assumptions!$E$62,-0.99))^(1/52)-1))*(1+((1+MAX($C$18-Assumptions!$E$62,-0.99))^(1/52)-1))^(52-$C$6)))</x:f>
        <x:v>10681.574885879425</x:v>
      </x:c>
      <x:c r="I46" s="584" t="n">
        <x:f>MAX($C$18-Assumptions!$E$62,-0.99)</x:f>
        <x:v>0.03</x:v>
      </x:c>
      <x:c r="J46" s="26"/>
      <x:c r="K46" s="26"/>
      <x:c r="L46" s="26"/>
      <x:c r="M46" s="26"/>
    </x:row>
    <x:row r="47">
      <x:c r="A47" s="559" t="str">
        <x:v>Central closing balance reconciliation</x:v>
      </x:c>
      <x:c r="B47" s="559"/>
      <x:c r="C47" s="559"/>
      <x:c r="D47" s="559"/>
      <x:c r="E47" s="559"/>
      <x:c r="F47" s="559"/>
      <x:c r="G47" s="559"/>
      <x:c r="H47" s="560" t="n">
        <x:f>H46</x:f>
        <x:v>10681.574885879425</x:v>
      </x:c>
      <x:c r="I47" s="559"/>
      <x:c r="J47" s="26"/>
      <x:c r="K47" s="26"/>
      <x:c r="L47" s="26"/>
      <x:c r="M47" s="26"/>
    </x:row>
    <x:row r="48">
      <x:c r="A48" s="26"/>
      <x:c r="B48" s="26"/>
      <x:c r="C48" s="26"/>
      <x:c r="D48" s="26"/>
      <x:c r="E48" s="26"/>
      <x:c r="F48" s="26"/>
      <x:c r="G48" s="26"/>
      <x:c r="H48" s="26"/>
      <x:c r="I48" s="26"/>
      <x:c r="J48" s="26"/>
      <x:c r="K48" s="26"/>
      <x:c r="L48" s="26"/>
      <x:c r="M48" s="26"/>
    </x:row>
    <x:row r="49" ht="22" customHeight="1">
      <x:c r="A49" s="587" t="str">
        <x:v>Investment sensitivity — returns are uncertain</x:v>
      </x:c>
      <x:c r="B49" s="587" t="str">
        <x:v>Investment sensitivity — returns are uncertain</x:v>
      </x:c>
      <x:c r="C49" s="587" t="str">
        <x:v>Investment sensitivity — returns are uncertain</x:v>
      </x:c>
      <x:c r="D49" s="587" t="str">
        <x:v>Investment sensitivity — returns are uncertain</x:v>
      </x:c>
      <x:c r="E49" s="587" t="str">
        <x:v>Investment sensitivity — returns are uncertain</x:v>
      </x:c>
      <x:c r="F49" s="587" t="str">
        <x:v>Investment sensitivity — returns are uncertain</x:v>
      </x:c>
      <x:c r="G49" s="587" t="str">
        <x:v>Investment sensitivity — returns are uncertain</x:v>
      </x:c>
      <x:c r="H49" s="587" t="str">
        <x:v>Investment sensitivity — returns are uncertain</x:v>
      </x:c>
      <x:c r="I49" s="587" t="str">
        <x:v>Investment sensitivity — returns are uncertain</x:v>
      </x:c>
      <x:c r="J49" s="587" t="str">
        <x:v>Investment sensitivity — returns are uncertain</x:v>
      </x:c>
      <x:c r="K49" s="587" t="str">
        <x:v>Investment sensitivity — returns are uncertain</x:v>
      </x:c>
      <x:c r="L49" s="587" t="str">
        <x:v>Investment sensitivity — returns are uncertain</x:v>
      </x:c>
      <x:c r="M49" s="587" t="str">
        <x:v>Investment sensitivity — returns are uncertain</x:v>
      </x:c>
    </x:row>
    <x:row r="50" ht="28" customHeight="1">
      <x:c r="A50" s="803" t="str">
        <x:v>Sensitivity</x:v>
      </x:c>
      <x:c r="B50" s="803" t="str">
        <x:v>Annual net return pattern</x:v>
      </x:c>
      <x:c r="C50" s="803" t="str">
        <x:v>Closing balance</x:v>
      </x:c>
      <x:c r="D50" s="803" t="str">
        <x:v>Net investment earnings</x:v>
      </x:c>
      <x:c r="E50" s="803" t="str">
        <x:v>Real balance</x:v>
      </x:c>
      <x:c r="F50" s="803" t="str">
        <x:v>Interpretation</x:v>
      </x:c>
      <x:c r="G50" s="803" t="str">
        <x:v>Net-return input</x:v>
      </x:c>
      <x:c r="H50" s="26"/>
      <x:c r="I50" s="26"/>
      <x:c r="J50" s="26"/>
      <x:c r="K50" s="26"/>
      <x:c r="L50" s="26"/>
      <x:c r="M50" s="26"/>
    </x:row>
    <x:row r="51">
      <x:c r="A51" s="26" t="str">
        <x:v>Zero return</x:v>
      </x:c>
      <x:c r="B51" s="26" t="str">
        <x:v>0% in all five years</x:v>
      </x:c>
      <x:c r="C51" s="225" t="n">
        <x:f>(((((0*(1+($G$51))+($C$12/$C$6)*IF(ABS(((1+($G$51))^(1/52)-1))&lt;0.0000001,$C$6,(((1+((1+($G$51))^(1/52)-1))^$C$6-1)/((1+($G$51))^(1/52)-1))*(1+((1+($G$51))^(1/52)-1))^(52-$C$6)))*(1+($G$51))+($C$12/$C$6)*IF(ABS(((1+($G$51))^(1/52)-1))&lt;0.0000001,$C$6,(((1+((1+($G$51))^(1/52)-1))^$C$6-1)/((1+($G$51))^(1/52)-1))*(1+((1+($G$51))^(1/52)-1))^(52-$C$6)))*(1+($G$51))+($C$12/$C$6)*IF(ABS(((1+($G$51))^(1/52)-1))&lt;0.0000001,$C$6,(((1+((1+($G$51))^(1/52)-1))^$C$6-1)/((1+($G$51))^(1/52)-1))*(1+((1+($G$51))^(1/52)-1))^(52-$C$6)))*(1+($G$51))+($C$12/$C$6)*IF(ABS(((1+($G$51))^(1/52)-1))&lt;0.0000001,$C$6,(((1+((1+($G$51))^(1/52)-1))^$C$6-1)/((1+($G$51))^(1/52)-1))*(1+((1+($G$51))^(1/52)-1))^(52-$C$6)))*(1+($G$51))+($C$12/$C$6)*IF(ABS(((1+($G$51))^(1/52)-1))&lt;0.0000001,$C$6,(((1+((1+($G$51))^(1/52)-1))^$C$6-1)/((1+($G$51))^(1/52)-1))*(1+((1+($G$51))^(1/52)-1))^(52-$C$6)))</x:f>
        <x:v>9750</x:v>
      </x:c>
      <x:c r="D51" s="225" t="n">
        <x:f>C51-$C$14</x:f>
        <x:v>0</x:v>
      </x:c>
      <x:c r="E51" s="225" t="n">
        <x:f>C51/PRODUCT(1+Assumptions!$E$94:Assumptions!$E$98)</x:f>
        <x:v>8726.139420615338</x:v>
      </x:c>
      <x:c r="F51" s="26" t="str">
        <x:v>No investment return</x:v>
      </x:c>
      <x:c r="G51" s="199" t="n">
        <x:v>0</x:v>
      </x:c>
      <x:c r="H51" s="26"/>
      <x:c r="I51" s="26"/>
      <x:c r="J51" s="26"/>
      <x:c r="K51" s="26"/>
      <x:c r="L51" s="26"/>
      <x:c r="M51" s="26"/>
    </x:row>
    <x:row r="52">
      <x:c r="A52" s="26" t="str">
        <x:v>Low return</x:v>
      </x:c>
      <x:c r="B52" s="26" t="str">
        <x:v>2% in all five years</x:v>
      </x:c>
      <x:c r="C52" s="225" t="n">
        <x:f>(((((0*(1+($G$52))+($C$12/$C$6)*IF(ABS(((1+($G$52))^(1/52)-1))&lt;0.0000001,$C$6,(((1+((1+($G$52))^(1/52)-1))^$C$6-1)/((1+($G$52))^(1/52)-1))*(1+((1+($G$52))^(1/52)-1))^(52-$C$6)))*(1+($G$52))+($C$12/$C$6)*IF(ABS(((1+($G$52))^(1/52)-1))&lt;0.0000001,$C$6,(((1+((1+($G$52))^(1/52)-1))^$C$6-1)/((1+($G$52))^(1/52)-1))*(1+((1+($G$52))^(1/52)-1))^(52-$C$6)))*(1+($G$52))+($C$12/$C$6)*IF(ABS(((1+($G$52))^(1/52)-1))&lt;0.0000001,$C$6,(((1+((1+($G$52))^(1/52)-1))^$C$6-1)/((1+($G$52))^(1/52)-1))*(1+((1+($G$52))^(1/52)-1))^(52-$C$6)))*(1+($G$52))+($C$12/$C$6)*IF(ABS(((1+($G$52))^(1/52)-1))&lt;0.0000001,$C$6,(((1+((1+($G$52))^(1/52)-1))^$C$6-1)/((1+($G$52))^(1/52)-1))*(1+((1+($G$52))^(1/52)-1))^(52-$C$6)))*(1+($G$52))+($C$12/$C$6)*IF(ABS(((1+($G$52))^(1/52)-1))&lt;0.0000001,$C$6,(((1+((1+($G$52))^(1/52)-1))^$C$6-1)/((1+($G$52))^(1/52)-1))*(1+((1+($G$52))^(1/52)-1))^(52-$C$6)))</x:f>
        <x:v>10270.442758332782</x:v>
      </x:c>
      <x:c r="D52" s="225" t="n">
        <x:f>C52-$C$14</x:f>
        <x:v>520.4427583327815</x:v>
      </x:c>
      <x:c r="E52" s="225" t="n">
        <x:f>C52/PRODUCT(1+Assumptions!$E$94:Assumptions!$E$98)</x:f>
        <x:v>9191.929786734463</x:v>
      </x:c>
      <x:c r="F52" s="26" t="str">
        <x:v>Transparent low net-return assumption</x:v>
      </x:c>
      <x:c r="G52" s="199" t="n">
        <x:v>0.02</x:v>
      </x:c>
      <x:c r="H52" s="26"/>
      <x:c r="I52" s="26"/>
      <x:c r="J52" s="26"/>
      <x:c r="K52" s="26"/>
      <x:c r="L52" s="26"/>
      <x:c r="M52" s="26"/>
    </x:row>
    <x:row r="53">
      <x:c r="A53" s="26" t="str">
        <x:v>Central return</x:v>
      </x:c>
      <x:c r="B53" s="26" t="str">
        <x:v>4% in all five years</x:v>
      </x:c>
      <x:c r="C53" s="225" t="n">
        <x:f>(((((0*(1+($G$53))+($C$12/$C$6)*IF(ABS(((1+($G$53))^(1/52)-1))&lt;0.0000001,$C$6,(((1+((1+($G$53))^(1/52)-1))^$C$6-1)/((1+($G$53))^(1/52)-1))*(1+((1+($G$53))^(1/52)-1))^(52-$C$6)))*(1+($G$53))+($C$12/$C$6)*IF(ABS(((1+($G$53))^(1/52)-1))&lt;0.0000001,$C$6,(((1+((1+($G$53))^(1/52)-1))^$C$6-1)/((1+($G$53))^(1/52)-1))*(1+((1+($G$53))^(1/52)-1))^(52-$C$6)))*(1+($G$53))+($C$12/$C$6)*IF(ABS(((1+($G$53))^(1/52)-1))&lt;0.0000001,$C$6,(((1+((1+($G$53))^(1/52)-1))^$C$6-1)/((1+($G$53))^(1/52)-1))*(1+((1+($G$53))^(1/52)-1))^(52-$C$6)))*(1+($G$53))+($C$12/$C$6)*IF(ABS(((1+($G$53))^(1/52)-1))&lt;0.0000001,$C$6,(((1+((1+($G$53))^(1/52)-1))^$C$6-1)/((1+($G$53))^(1/52)-1))*(1+((1+($G$53))^(1/52)-1))^(52-$C$6)))*(1+($G$53))+($C$12/$C$6)*IF(ABS(((1+($G$53))^(1/52)-1))&lt;0.0000001,$C$6,(((1+((1+($G$53))^(1/52)-1))^$C$6-1)/((1+($G$53))^(1/52)-1))*(1+((1+($G$53))^(1/52)-1))^(52-$C$6)))</x:f>
        <x:v>10816.178972484804</x:v>
      </x:c>
      <x:c r="D53" s="225" t="n">
        <x:f>C53-$C$14</x:f>
        <x:v>1066.178972484804</x:v>
      </x:c>
      <x:c r="E53" s="225" t="n">
        <x:f>C53/PRODUCT(1+Assumptions!$E$94:Assumptions!$E$98)</x:f>
        <x:v>9680.357508946703</x:v>
      </x:c>
      <x:c r="F53" s="26" t="str">
        <x:v>Constant-return reference without lifecycle de-risking</x:v>
      </x:c>
      <x:c r="G53" s="199" t="n">
        <x:v>0.04</x:v>
      </x:c>
      <x:c r="H53" s="26"/>
      <x:c r="I53" s="26"/>
      <x:c r="J53" s="26"/>
      <x:c r="K53" s="26"/>
      <x:c r="L53" s="26"/>
      <x:c r="M53" s="26"/>
    </x:row>
    <x:row r="54">
      <x:c r="A54" s="26" t="str">
        <x:v>High return</x:v>
      </x:c>
      <x:c r="B54" s="26" t="str">
        <x:v>6% in all five years</x:v>
      </x:c>
      <x:c r="C54" s="225" t="n">
        <x:f>(((((0*(1+($G$54))+($C$12/$C$6)*IF(ABS(((1+($G$54))^(1/52)-1))&lt;0.0000001,$C$6,(((1+((1+($G$54))^(1/52)-1))^$C$6-1)/((1+($G$54))^(1/52)-1))*(1+((1+($G$54))^(1/52)-1))^(52-$C$6)))*(1+($G$54))+($C$12/$C$6)*IF(ABS(((1+($G$54))^(1/52)-1))&lt;0.0000001,$C$6,(((1+((1+($G$54))^(1/52)-1))^$C$6-1)/((1+($G$54))^(1/52)-1))*(1+((1+($G$54))^(1/52)-1))^(52-$C$6)))*(1+($G$54))+($C$12/$C$6)*IF(ABS(((1+($G$54))^(1/52)-1))&lt;0.0000001,$C$6,(((1+((1+($G$54))^(1/52)-1))^$C$6-1)/((1+($G$54))^(1/52)-1))*(1+((1+($G$54))^(1/52)-1))^(52-$C$6)))*(1+($G$54))+($C$12/$C$6)*IF(ABS(((1+($G$54))^(1/52)-1))&lt;0.0000001,$C$6,(((1+((1+($G$54))^(1/52)-1))^$C$6-1)/((1+($G$54))^(1/52)-1))*(1+((1+($G$54))^(1/52)-1))^(52-$C$6)))*(1+($G$54))+($C$12/$C$6)*IF(ABS(((1+($G$54))^(1/52)-1))&lt;0.0000001,$C$6,(((1+((1+($G$54))^(1/52)-1))^$C$6-1)/((1+($G$54))^(1/52)-1))*(1+((1+($G$54))^(1/52)-1))^(52-$C$6)))</x:f>
        <x:v>11388.214902722604</x:v>
      </x:c>
      <x:c r="D54" s="225" t="n">
        <x:f>C54-$C$14</x:f>
        <x:v>1638.2149027226042</x:v>
      </x:c>
      <x:c r="E54" s="225" t="n">
        <x:f>C54/PRODUCT(1+Assumptions!$E$94:Assumptions!$E$98)</x:f>
        <x:v>10192.323178778131</x:v>
      </x:c>
      <x:c r="F54" s="26" t="str">
        <x:v>Transparent high net-return assumption</x:v>
      </x:c>
      <x:c r="G54" s="199" t="n">
        <x:v>0.06</x:v>
      </x:c>
      <x:c r="H54" s="26"/>
      <x:c r="I54" s="26"/>
      <x:c r="J54" s="26"/>
      <x:c r="K54" s="26"/>
      <x:c r="L54" s="26"/>
      <x:c r="M54" s="26"/>
    </x:row>
    <x:row r="55">
      <x:c r="A55" s="26" t="str">
        <x:v>Lifecycle central</x:v>
      </x:c>
      <x:c r="B55" s="26" t="str">
        <x:v>4%, 4%, 4%, 3.5%, 3.0%</x:v>
      </x:c>
      <x:c r="C55" s="225" t="n">
        <x:f>(((((0*(1+(0.04))+($C$12/$C$6)*IF(ABS(((1+(0.04))^(1/52)-1))&lt;0.0000001,$C$6,(((1+((1+(0.04))^(1/52)-1))^$C$6-1)/((1+(0.04))^(1/52)-1))*(1+((1+(0.04))^(1/52)-1))^(52-$C$6)))*(1+(0.04))+($C$12/$C$6)*IF(ABS(((1+(0.04))^(1/52)-1))&lt;0.0000001,$C$6,(((1+((1+(0.04))^(1/52)-1))^$C$6-1)/((1+(0.04))^(1/52)-1))*(1+((1+(0.04))^(1/52)-1))^(52-$C$6)))*(1+(0.04))+($C$12/$C$6)*IF(ABS(((1+(0.04))^(1/52)-1))&lt;0.0000001,$C$6,(((1+((1+(0.04))^(1/52)-1))^$C$6-1)/((1+(0.04))^(1/52)-1))*(1+((1+(0.04))^(1/52)-1))^(52-$C$6)))*(1+(0.035))+($C$12/$C$6)*IF(ABS(((1+(0.035))^(1/52)-1))&lt;0.0000001,$C$6,(((1+((1+(0.035))^(1/52)-1))^$C$6-1)/((1+(0.035))^(1/52)-1))*(1+((1+(0.035))^(1/52)-1))^(52-$C$6)))*(1+(0.03))+($C$12/$C$6)*IF(ABS(((1+(0.03))^(1/52)-1))&lt;0.0000001,$C$6,(((1+((1+(0.03))^(1/52)-1))^$C$6-1)/((1+(0.03))^(1/52)-1))*(1+((1+(0.03))^(1/52)-1))^(52-$C$6)))</x:f>
        <x:v>10681.574885879425</x:v>
      </x:c>
      <x:c r="D55" s="225" t="n">
        <x:f>C55-$C$14</x:f>
        <x:v>931.574885879425</x:v>
      </x:c>
      <x:c r="E55" s="225" t="n">
        <x:f>C55/PRODUCT(1+Assumptions!$E$94:Assumptions!$E$98)</x:f>
        <x:v>9559.88837804382</x:v>
      </x:c>
      <x:c r="F55" s="26" t="str">
        <x:v>Expected de-risking as withdrawal approaches</x:v>
      </x:c>
      <x:c r="G55" s="26"/>
      <x:c r="H55" s="26"/>
      <x:c r="I55" s="26"/>
      <x:c r="J55" s="26"/>
      <x:c r="K55" s="26"/>
      <x:c r="L55" s="26"/>
      <x:c r="M55" s="26"/>
    </x:row>
    <x:row r="56">
      <x:c r="A56" s="591" t="str">
        <x:v>Market downturn</x:v>
      </x:c>
      <x:c r="B56" s="591" t="str">
        <x:v>4%, 4%, 4%, 4%, -10%</x:v>
      </x:c>
      <x:c r="C56" s="592" t="n">
        <x:f>(((((0*(1+(0.04))+($C$12/$C$6)*IF(ABS(((1+(0.04))^(1/52)-1))&lt;0.0000001,$C$6,(((1+((1+(0.04))^(1/52)-1))^$C$6-1)/((1+(0.04))^(1/52)-1))*(1+((1+(0.04))^(1/52)-1))^(52-$C$6)))*(1+(0.04))+($C$12/$C$6)*IF(ABS(((1+(0.04))^(1/52)-1))&lt;0.0000001,$C$6,(((1+((1+(0.04))^(1/52)-1))^$C$6-1)/((1+(0.04))^(1/52)-1))*(1+((1+(0.04))^(1/52)-1))^(52-$C$6)))*(1+(0.04))+($C$12/$C$6)*IF(ABS(((1+(0.04))^(1/52)-1))&lt;0.0000001,$C$6,(((1+((1+(0.04))^(1/52)-1))^$C$6-1)/((1+(0.04))^(1/52)-1))*(1+((1+(0.04))^(1/52)-1))^(52-$C$6)))*(1+(0.04))+($C$12/$C$6)*IF(ABS(((1+(0.04))^(1/52)-1))&lt;0.0000001,$C$6,(((1+((1+(0.04))^(1/52)-1))^$C$6-1)/((1+(0.04))^(1/52)-1))*(1+((1+(0.04))^(1/52)-1))^(52-$C$6)))*(1+(-0.10))+($C$12/$C$6)*IF(ABS(((1+(-0.10))^(1/52)-1))&lt;0.0000001,$C$6,(((1+((1+(-0.10))^(1/52)-1))^$C$6-1)/((1+(-0.10))^(1/52)-1))*(1+((1+(-0.10))^(1/52)-1))^(52-$C$6)))</x:f>
        <x:v>9461.948337315323</x:v>
      </x:c>
      <x:c r="D56" s="592" t="n">
        <x:f>C56-$C$14</x:f>
        <x:v>-288.05166268467656</x:v>
      </x:c>
      <x:c r="E56" s="592" t="n">
        <x:f>C56/PRODUCT(1+Assumptions!$E$94:Assumptions!$E$98)</x:f>
        <x:v>8468.336449443384</x:v>
      </x:c>
      <x:c r="F56" s="591" t="str">
        <x:v>Illustrates loss close to withdrawal</x:v>
      </x:c>
      <x:c r="G56" s="26"/>
      <x:c r="H56" s="26"/>
      <x:c r="I56" s="26"/>
      <x:c r="J56" s="26"/>
      <x:c r="K56" s="26"/>
      <x:c r="L56" s="26"/>
      <x:c r="M56" s="26"/>
    </x:row>
    <x:row r="57">
      <x:c r="A57" s="26"/>
      <x:c r="B57" s="26"/>
      <x:c r="C57" s="26"/>
      <x:c r="D57" s="26"/>
      <x:c r="E57" s="26"/>
      <x:c r="F57" s="26"/>
      <x:c r="G57" s="26"/>
      <x:c r="H57" s="26"/>
      <x:c r="I57" s="26"/>
      <x:c r="J57" s="26"/>
      <x:c r="K57" s="26"/>
      <x:c r="L57" s="26"/>
      <x:c r="M57" s="26"/>
    </x:row>
    <x:row r="58" ht="22" customHeight="1">
      <x:c r="A58" s="587" t="str">
        <x:v>Student Loan Cost of Capital and Real-Value Erosion</x:v>
      </x:c>
      <x:c r="B58" s="587" t="str">
        <x:v>Student Loan Cost of Capital and Real-Value Erosion</x:v>
      </x:c>
      <x:c r="C58" s="587" t="str">
        <x:v>Student Loan Cost of Capital and Real-Value Erosion</x:v>
      </x:c>
      <x:c r="D58" s="587" t="str">
        <x:v>Student Loan Cost of Capital and Real-Value Erosion</x:v>
      </x:c>
      <x:c r="E58" s="587" t="str">
        <x:v>Student Loan Cost of Capital and Real-Value Erosion</x:v>
      </x:c>
      <x:c r="F58" s="587" t="str">
        <x:v>Student Loan Cost of Capital and Real-Value Erosion</x:v>
      </x:c>
      <x:c r="G58" s="587" t="str">
        <x:v>Student Loan Cost of Capital and Real-Value Erosion</x:v>
      </x:c>
      <x:c r="H58" s="587" t="str">
        <x:v>Student Loan Cost of Capital and Real-Value Erosion</x:v>
      </x:c>
      <x:c r="I58" s="587" t="str">
        <x:v>Student Loan Cost of Capital and Real-Value Erosion</x:v>
      </x:c>
      <x:c r="J58" s="587" t="str">
        <x:v>Student Loan Cost of Capital and Real-Value Erosion</x:v>
      </x:c>
      <x:c r="K58" s="587" t="str">
        <x:v>Student Loan Cost of Capital and Real-Value Erosion</x:v>
      </x:c>
      <x:c r="L58" s="587" t="str">
        <x:v>Student Loan Cost of Capital and Real-Value Erosion</x:v>
      </x:c>
      <x:c r="M58" s="587" t="str">
        <x:v>Student Loan Cost of Capital and Real-Value Erosion</x:v>
      </x:c>
    </x:row>
    <x:row r="59">
      <x:c r="A59" s="571" t="str">
        <x:v>Interest-free student lending is interest-free to eligible borrowers, but it is not cost-free to the Crown. The economic value of repayments declines when repayment is delayed, because inflation reduces purchasing power and public capital remains committed to the loan asset. The official fair-value method is the central fiscal measure. Inflation erosion, discounting and annual cost of ownership are shown as non-additive explanatory views.</x:v>
      </x:c>
      <x:c r="B59" s="571"/>
      <x:c r="C59" s="571"/>
      <x:c r="D59" s="571"/>
      <x:c r="E59" s="571"/>
      <x:c r="F59" s="571"/>
      <x:c r="G59" s="571"/>
      <x:c r="H59" s="571"/>
      <x:c r="I59" s="571"/>
      <x:c r="J59" s="571"/>
      <x:c r="K59" s="571"/>
      <x:c r="L59" s="571"/>
      <x:c r="M59" s="571"/>
    </x:row>
    <x:row r="60">
      <x:c r="A60" s="571"/>
      <x:c r="B60" s="571"/>
      <x:c r="C60" s="571"/>
      <x:c r="D60" s="571"/>
      <x:c r="E60" s="571"/>
      <x:c r="F60" s="571"/>
      <x:c r="G60" s="571"/>
      <x:c r="H60" s="571"/>
      <x:c r="I60" s="571"/>
      <x:c r="J60" s="571"/>
      <x:c r="K60" s="571"/>
      <x:c r="L60" s="571"/>
      <x:c r="M60" s="571"/>
    </x:row>
    <x:row r="61">
      <x:c r="A61" s="571"/>
      <x:c r="B61" s="571"/>
      <x:c r="C61" s="571"/>
      <x:c r="D61" s="571"/>
      <x:c r="E61" s="571"/>
      <x:c r="F61" s="571"/>
      <x:c r="G61" s="571"/>
      <x:c r="H61" s="571"/>
      <x:c r="I61" s="571"/>
      <x:c r="J61" s="571"/>
      <x:c r="K61" s="571"/>
      <x:c r="L61" s="571"/>
      <x:c r="M61" s="571"/>
    </x:row>
    <x:row r="62">
      <x:c r="A62" s="26"/>
      <x:c r="B62" s="26"/>
      <x:c r="C62" s="26"/>
      <x:c r="D62" s="26"/>
      <x:c r="E62" s="26"/>
      <x:c r="F62" s="26"/>
      <x:c r="G62" s="26"/>
      <x:c r="H62" s="26"/>
      <x:c r="I62" s="26"/>
      <x:c r="J62" s="26"/>
      <x:c r="K62" s="26"/>
      <x:c r="L62" s="26"/>
      <x:c r="M62" s="26"/>
    </x:row>
    <x:row r="63" ht="28" customHeight="1">
      <x:c r="A63" s="527" t="str">
        <x:v>Official audited metric</x:v>
      </x:c>
      <x:c r="B63" s="527" t="str">
        <x:v>Value</x:v>
      </x:c>
      <x:c r="C63" s="527" t="str">
        <x:v>Unit</x:v>
      </x:c>
      <x:c r="D63" s="527" t="str">
        <x:v>Source ID</x:v>
      </x:c>
      <x:c r="E63" s="527" t="str">
        <x:v>Interpretation</x:v>
      </x:c>
      <x:c r="F63" s="26"/>
      <x:c r="G63" s="26"/>
      <x:c r="H63" s="26"/>
      <x:c r="I63" s="26"/>
      <x:c r="J63" s="26"/>
      <x:c r="K63" s="26"/>
      <x:c r="L63" s="26"/>
      <x:c r="M63" s="26"/>
    </x:row>
    <x:row r="64">
      <x:c r="A64" s="26" t="str">
        <x:v>Gross new student-loan lending — 2024/25</x:v>
      </x:c>
      <x:c r="B64" s="167" t="n">
        <x:f>Assumptions!$E$81</x:f>
        <x:v>1709000000</x:v>
      </x:c>
      <x:c r="C64" s="26" t="str">
        <x:v>NZD</x:v>
      </x:c>
      <x:c r="D64" s="26" t="str">
        <x:v>S24–S27</x:v>
      </x:c>
      <x:c r="E64" s="26" t="str">
        <x:v>Official fair-value cost is central; the other views explain timing and purchasing power.</x:v>
      </x:c>
      <x:c r="F64" s="26"/>
      <x:c r="G64" s="26"/>
      <x:c r="H64" s="26"/>
      <x:c r="I64" s="26"/>
      <x:c r="J64" s="26"/>
      <x:c r="K64" s="26"/>
      <x:c r="L64" s="26"/>
      <x:c r="M64" s="26"/>
    </x:row>
    <x:row r="65">
      <x:c r="A65" s="26" t="str">
        <x:v>Initial fair-value write-down — 2024/25</x:v>
      </x:c>
      <x:c r="B65" s="167" t="n">
        <x:f>Assumptions!$E$82</x:f>
        <x:v>585000000</x:v>
      </x:c>
      <x:c r="C65" s="26" t="str">
        <x:v>NZD</x:v>
      </x:c>
      <x:c r="D65" s="26" t="str">
        <x:v>S24–S27</x:v>
      </x:c>
      <x:c r="E65" s="26" t="str">
        <x:v>Official fair-value cost is central; the other views explain timing and purchasing power.</x:v>
      </x:c>
      <x:c r="F65" s="26"/>
      <x:c r="G65" s="26"/>
      <x:c r="H65" s="26"/>
      <x:c r="I65" s="26"/>
      <x:c r="J65" s="26"/>
      <x:c r="K65" s="26"/>
      <x:c r="L65" s="26"/>
      <x:c r="M65" s="26"/>
    </x:row>
    <x:row r="66">
      <x:c r="A66" s="26" t="str">
        <x:v>Lifetime cost per dollar lent</x:v>
      </x:c>
      <x:c r="B66" s="276" t="n">
        <x:f>Assumptions!$E$80</x:f>
        <x:v>0.3424</x:v>
      </x:c>
      <x:c r="C66" s="26" t="str">
        <x:v>%</x:v>
      </x:c>
      <x:c r="D66" s="26" t="str">
        <x:v>S24–S27</x:v>
      </x:c>
      <x:c r="E66" s="26" t="str">
        <x:v>Official fair-value cost is central; the other views explain timing and purchasing power.</x:v>
      </x:c>
      <x:c r="F66" s="26"/>
      <x:c r="G66" s="26"/>
      <x:c r="H66" s="26"/>
      <x:c r="I66" s="26"/>
      <x:c r="J66" s="26"/>
      <x:c r="K66" s="26"/>
      <x:c r="L66" s="26"/>
      <x:c r="M66" s="26"/>
    </x:row>
    <x:row r="67">
      <x:c r="A67" s="26" t="str">
        <x:v>Student-loan asset fair value</x:v>
      </x:c>
      <x:c r="B67" s="167" t="n">
        <x:f>Assumptions!$E$83</x:f>
        <x:v>10054000000</x:v>
      </x:c>
      <x:c r="C67" s="26" t="str">
        <x:v>NZD</x:v>
      </x:c>
      <x:c r="D67" s="26" t="str">
        <x:v>S24–S27</x:v>
      </x:c>
      <x:c r="E67" s="26" t="str">
        <x:v>Official fair-value cost is central; the other views explain timing and purchasing power.</x:v>
      </x:c>
      <x:c r="F67" s="26"/>
      <x:c r="G67" s="26"/>
      <x:c r="H67" s="26"/>
      <x:c r="I67" s="26"/>
      <x:c r="J67" s="26"/>
      <x:c r="K67" s="26"/>
      <x:c r="L67" s="26"/>
      <x:c r="M67" s="26"/>
    </x:row>
    <x:row r="68">
      <x:c r="A68" s="26" t="str">
        <x:v>Representative discount rate incl. expenses</x:v>
      </x:c>
      <x:c r="B68" s="276" t="n">
        <x:f>Assumptions!$E$84</x:f>
        <x:v>0.0567</x:v>
      </x:c>
      <x:c r="C68" s="26" t="str">
        <x:v>%</x:v>
      </x:c>
      <x:c r="D68" s="26" t="str">
        <x:v>S24–S27</x:v>
      </x:c>
      <x:c r="E68" s="26" t="str">
        <x:v>Official fair-value cost is central; the other views explain timing and purchasing power.</x:v>
      </x:c>
      <x:c r="F68" s="26"/>
      <x:c r="G68" s="26"/>
      <x:c r="H68" s="26"/>
      <x:c r="I68" s="26"/>
      <x:c r="J68" s="26"/>
      <x:c r="K68" s="26"/>
      <x:c r="L68" s="26"/>
      <x:c r="M68" s="26"/>
    </x:row>
    <x:row r="69">
      <x:c r="A69" s="26" t="str">
        <x:v>Annual Crown cost of ownership — 2025/26</x:v>
      </x:c>
      <x:c r="B69" s="167" t="n">
        <x:f>Assumptions!$E$85</x:f>
        <x:v>544000000</x:v>
      </x:c>
      <x:c r="C69" s="26" t="str">
        <x:v>NZD</x:v>
      </x:c>
      <x:c r="D69" s="26" t="str">
        <x:v>S24–S27</x:v>
      </x:c>
      <x:c r="E69" s="26" t="str">
        <x:v>Official fair-value cost is central; the other views explain timing and purchasing power.</x:v>
      </x:c>
      <x:c r="F69" s="26"/>
      <x:c r="G69" s="26"/>
      <x:c r="H69" s="26"/>
      <x:c r="I69" s="26"/>
      <x:c r="J69" s="26"/>
      <x:c r="K69" s="26"/>
      <x:c r="L69" s="26"/>
      <x:c r="M69" s="26"/>
    </x:row>
    <x:row r="70">
      <x:c r="A70" s="26" t="str">
        <x:v>Ten-year historical annualised CPI</x:v>
      </x:c>
      <x:c r="B70" s="276" t="n">
        <x:f>Assumptions!$E$90</x:f>
        <x:v>0.03181013282891576</x:v>
      </x:c>
      <x:c r="C70" s="26" t="str">
        <x:v>%</x:v>
      </x:c>
      <x:c r="D70" s="26" t="str">
        <x:v>S24–S27</x:v>
      </x:c>
      <x:c r="E70" s="26" t="str">
        <x:v>Official fair-value cost is central; the other views explain timing and purchasing power.</x:v>
      </x:c>
      <x:c r="F70" s="26"/>
      <x:c r="G70" s="26"/>
      <x:c r="H70" s="26"/>
      <x:c r="I70" s="26"/>
      <x:c r="J70" s="26"/>
      <x:c r="K70" s="26"/>
      <x:c r="L70" s="26"/>
      <x:c r="M70" s="26"/>
    </x:row>
    <x:row r="71">
      <x:c r="A71" s="26" t="str">
        <x:v>Twenty-year historical annualised CPI</x:v>
      </x:c>
      <x:c r="B71" s="276" t="n">
        <x:f>Assumptions!$E$91</x:f>
        <x:v>0.025895799436110645</x:v>
      </x:c>
      <x:c r="C71" s="26" t="str">
        <x:v>%</x:v>
      </x:c>
      <x:c r="D71" s="26" t="str">
        <x:v>S24–S27</x:v>
      </x:c>
      <x:c r="E71" s="26" t="str">
        <x:v>Official fair-value cost is central; the other views explain timing and purchasing power.</x:v>
      </x:c>
      <x:c r="F71" s="26"/>
      <x:c r="G71" s="26"/>
      <x:c r="H71" s="26"/>
      <x:c r="I71" s="26"/>
      <x:c r="J71" s="26"/>
      <x:c r="K71" s="26"/>
      <x:c r="L71" s="26"/>
      <x:c r="M71" s="26"/>
    </x:row>
    <x:row r="72">
      <x:c r="A72" s="26"/>
      <x:c r="B72" s="26"/>
      <x:c r="C72" s="26"/>
      <x:c r="D72" s="26"/>
      <x:c r="E72" s="26"/>
      <x:c r="F72" s="26"/>
      <x:c r="G72" s="26"/>
      <x:c r="H72" s="26"/>
      <x:c r="I72" s="26"/>
      <x:c r="J72" s="26"/>
      <x:c r="K72" s="26"/>
      <x:c r="L72" s="26"/>
      <x:c r="M72" s="26"/>
    </x:row>
    <x:row r="73" ht="28" customHeight="1">
      <x:c r="A73" s="527" t="str">
        <x:v>Year</x:v>
      </x:c>
      <x:c r="B73" s="527" t="str">
        <x:v>Nominal repayment</x:v>
      </x:c>
      <x:c r="C73" s="527" t="str">
        <x:v>Treasury CPI forward</x:v>
      </x:c>
      <x:c r="D73" s="527" t="str">
        <x:v>Cumulative CPI</x:v>
      </x:c>
      <x:c r="E73" s="527" t="str">
        <x:v>Real repayment value</x:v>
      </x:c>
      <x:c r="F73" s="527" t="str">
        <x:v>Risk-free forward</x:v>
      </x:c>
      <x:c r="G73" s="527" t="str">
        <x:v>Risk + expense</x:v>
      </x:c>
      <x:c r="H73" s="527" t="str">
        <x:v>Indicative discount rate</x:v>
      </x:c>
      <x:c r="I73" s="527" t="str">
        <x:v>Cumulative discount</x:v>
      </x:c>
      <x:c r="J73" s="527" t="str">
        <x:v>PV of repayment</x:v>
      </x:c>
      <x:c r="K73" s="527" t="str">
        <x:v>Non-additive view</x:v>
      </x:c>
      <x:c r="L73" s="26"/>
      <x:c r="M73" s="26"/>
    </x:row>
    <x:row r="74">
      <x:c r="A74" s="26" t="n">
        <x:v>1</x:v>
      </x:c>
      <x:c r="B74" s="167" t="n">
        <x:f>IF(A74&lt;=ROUND(Assumptions!$E$77,0),Assumptions!$E$68/ROUND(Assumptions!$E$77,0),0)</x:f>
        <x:v>2508.1428571428573</x:v>
      </x:c>
      <x:c r="C74" s="276" t="n">
        <x:f>Assumptions!$E$94</x:f>
        <x:v>0.027</x:v>
      </x:c>
      <x:c r="D74" s="593" t="n">
        <x:f>1+C74</x:f>
        <x:v>1.027</x:v>
      </x:c>
      <x:c r="E74" s="167" t="n">
        <x:f>B74/D74</x:f>
        <x:v>2442.203366254</x:v>
      </x:c>
      <x:c r="F74" s="276" t="n">
        <x:f>Assumptions!$E$109</x:f>
        <x:v>0.0297</x:v>
      </x:c>
      <x:c r="G74" s="276" t="n">
        <x:f>Assumptions!$E$86+Assumptions!$E$87</x:f>
        <x:v>0.0125</x:v>
      </x:c>
      <x:c r="H74" s="276" t="n">
        <x:f>F74+G74</x:f>
        <x:v>0.0422</x:v>
      </x:c>
      <x:c r="I74" s="593" t="n">
        <x:f>1+H74</x:f>
        <x:v>1.0422</x:v>
      </x:c>
      <x:c r="J74" s="167" t="n">
        <x:f>B74/I74</x:f>
        <x:v>2406.584971351811</x:v>
      </x:c>
      <x:c r="K74" s="26" t="str">
        <x:v>Purchasing-power and indicative DCF bridge only</x:v>
      </x:c>
      <x:c r="L74" s="26"/>
      <x:c r="M74" s="26"/>
    </x:row>
    <x:row r="75">
      <x:c r="A75" s="26" t="n">
        <x:v>2</x:v>
      </x:c>
      <x:c r="B75" s="167" t="n">
        <x:f>IF(A75&lt;=ROUND(Assumptions!$E$77,0),Assumptions!$E$68/ROUND(Assumptions!$E$77,0),0)</x:f>
        <x:v>2508.1428571428573</x:v>
      </x:c>
      <x:c r="C75" s="276" t="n">
        <x:f>Assumptions!$E$95</x:f>
        <x:v>0.0231</x:v>
      </x:c>
      <x:c r="D75" s="593" t="n">
        <x:f>D74*(1+C75)</x:f>
        <x:v>1.0507236999999998</x:v>
      </x:c>
      <x:c r="E75" s="167" t="n">
        <x:f>B75/D75</x:f>
        <x:v>2387.062228769426</x:v>
      </x:c>
      <x:c r="F75" s="276" t="n">
        <x:f>Assumptions!$E$110</x:f>
        <x:v>0.0375</x:v>
      </x:c>
      <x:c r="G75" s="276" t="n">
        <x:f>Assumptions!$E$86+Assumptions!$E$87</x:f>
        <x:v>0.0125</x:v>
      </x:c>
      <x:c r="H75" s="276" t="n">
        <x:f>F75+G75</x:f>
        <x:v>0.05</x:v>
      </x:c>
      <x:c r="I75" s="593" t="n">
        <x:f>I74*(1+H75)</x:f>
        <x:v>1.0943100000000001</x:v>
      </x:c>
      <x:c r="J75" s="167" t="n">
        <x:f>B75/I75</x:f>
        <x:v>2291.9856870017243</x:v>
      </x:c>
      <x:c r="K75" s="26" t="str">
        <x:v>Purchasing-power and indicative DCF bridge only</x:v>
      </x:c>
      <x:c r="L75" s="26"/>
      <x:c r="M75" s="26"/>
    </x:row>
    <x:row r="76">
      <x:c r="A76" s="26" t="n">
        <x:v>3</x:v>
      </x:c>
      <x:c r="B76" s="167" t="n">
        <x:f>IF(A76&lt;=ROUND(Assumptions!$E$77,0),Assumptions!$E$68/ROUND(Assumptions!$E$77,0),0)</x:f>
        <x:v>2508.1428571428573</x:v>
      </x:c>
      <x:c r="C76" s="276" t="n">
        <x:f>Assumptions!$E$96</x:f>
        <x:v>0.0215</x:v>
      </x:c>
      <x:c r="D76" s="593" t="n">
        <x:f>D75*(1+C76)</x:f>
        <x:v>1.0733142595499998</x:v>
      </x:c>
      <x:c r="E76" s="167" t="n">
        <x:f>B76/D76</x:f>
        <x:v>2336.820586166839</x:v>
      </x:c>
      <x:c r="F76" s="276" t="n">
        <x:f>Assumptions!$E$111</x:f>
        <x:v>0.04</x:v>
      </x:c>
      <x:c r="G76" s="276" t="n">
        <x:f>Assumptions!$E$86+Assumptions!$E$87</x:f>
        <x:v>0.0125</x:v>
      </x:c>
      <x:c r="H76" s="276" t="n">
        <x:f>F76+G76</x:f>
        <x:v>0.052500000000000005</x:v>
      </x:c>
      <x:c r="I76" s="593" t="n">
        <x:f>I75*(1+H76)</x:f>
        <x:v>1.1517612750000001</x:v>
      </x:c>
      <x:c r="J76" s="167" t="n">
        <x:f>B76/I76</x:f>
        <x:v>2177.6586099778856</x:v>
      </x:c>
      <x:c r="K76" s="26" t="str">
        <x:v>Purchasing-power and indicative DCF bridge only</x:v>
      </x:c>
      <x:c r="L76" s="26"/>
      <x:c r="M76" s="26"/>
    </x:row>
    <x:row r="77">
      <x:c r="A77" s="26" t="n">
        <x:v>4</x:v>
      </x:c>
      <x:c r="B77" s="167" t="n">
        <x:f>IF(A77&lt;=ROUND(Assumptions!$E$77,0),Assumptions!$E$68/ROUND(Assumptions!$E$77,0),0)</x:f>
        <x:v>2508.1428571428573</x:v>
      </x:c>
      <x:c r="C77" s="276" t="n">
        <x:f>Assumptions!$E$97</x:f>
        <x:v>0.021</x:v>
      </x:c>
      <x:c r="D77" s="593" t="n">
        <x:f>D76*(1+C77)</x:f>
        <x:v>1.0958538590005498</x:v>
      </x:c>
      <x:c r="E77" s="167" t="n">
        <x:f>B77/D77</x:f>
        <x:v>2288.7566955600773</x:v>
      </x:c>
      <x:c r="F77" s="276" t="n">
        <x:f>Assumptions!$E$112</x:f>
        <x:v>0.0427</x:v>
      </x:c>
      <x:c r="G77" s="276" t="n">
        <x:f>Assumptions!$E$86+Assumptions!$E$87</x:f>
        <x:v>0.0125</x:v>
      </x:c>
      <x:c r="H77" s="276" t="n">
        <x:f>F77+G77</x:f>
        <x:v>0.0552</x:v>
      </x:c>
      <x:c r="I77" s="593" t="n">
        <x:f>I76*(1+H77)</x:f>
        <x:v>1.21533849738</x:v>
      </x:c>
      <x:c r="J77" s="167" t="n">
        <x:f>B77/I77</x:f>
        <x:v>2063.7401535044405</x:v>
      </x:c>
      <x:c r="K77" s="26" t="str">
        <x:v>Purchasing-power and indicative DCF bridge only</x:v>
      </x:c>
      <x:c r="L77" s="26"/>
      <x:c r="M77" s="26"/>
    </x:row>
    <x:row r="78">
      <x:c r="A78" s="26" t="n">
        <x:v>5</x:v>
      </x:c>
      <x:c r="B78" s="167" t="n">
        <x:f>IF(A78&lt;=ROUND(Assumptions!$E$77,0),Assumptions!$E$68/ROUND(Assumptions!$E$77,0),0)</x:f>
        <x:v>2508.1428571428573</x:v>
      </x:c>
      <x:c r="C78" s="276" t="n">
        <x:f>Assumptions!$E$98</x:f>
        <x:v>0.0196</x:v>
      </x:c>
      <x:c r="D78" s="593" t="n">
        <x:f>D77*(1+C78)</x:f>
        <x:v>1.1173325946369606</x:v>
      </x:c>
      <x:c r="E78" s="167" t="n">
        <x:f>B78/D78</x:f>
        <x:v>2244.759411102469</x:v>
      </x:c>
      <x:c r="F78" s="276" t="n">
        <x:f>Assumptions!$E$113</x:f>
        <x:v>0.0454</x:v>
      </x:c>
      <x:c r="G78" s="276" t="n">
        <x:f>Assumptions!$E$86+Assumptions!$E$87</x:f>
        <x:v>0.0125</x:v>
      </x:c>
      <x:c r="H78" s="276" t="n">
        <x:f>F78+G78</x:f>
        <x:v>0.05790000000000001</x:v>
      </x:c>
      <x:c r="I78" s="593" t="n">
        <x:f>I77*(1+H78)</x:f>
        <x:v>1.285706596378302</x:v>
      </x:c>
      <x:c r="J78" s="167" t="n">
        <x:f>B78/I78</x:f>
        <x:v>1950.7894446587015</x:v>
      </x:c>
      <x:c r="K78" s="26" t="str">
        <x:v>Purchasing-power and indicative DCF bridge only</x:v>
      </x:c>
      <x:c r="L78" s="26"/>
      <x:c r="M78" s="26"/>
    </x:row>
    <x:row r="79">
      <x:c r="A79" s="26" t="n">
        <x:v>6</x:v>
      </x:c>
      <x:c r="B79" s="167" t="n">
        <x:f>IF(A79&lt;=ROUND(Assumptions!$E$77,0),Assumptions!$E$68/ROUND(Assumptions!$E$77,0),0)</x:f>
        <x:v>2508.1428571428573</x:v>
      </x:c>
      <x:c r="C79" s="276" t="n">
        <x:f>Assumptions!$E$99</x:f>
        <x:v>0.0196</x:v>
      </x:c>
      <x:c r="D79" s="593" t="n">
        <x:f>D78*(1+C79)</x:f>
        <x:v>1.139232313491845</x:v>
      </x:c>
      <x:c r="E79" s="167" t="n">
        <x:f>B79/D79</x:f>
        <x:v>2201.6078963343166</x:v>
      </x:c>
      <x:c r="F79" s="276" t="n">
        <x:f>Assumptions!$E$114</x:f>
        <x:v>0.0482</x:v>
      </x:c>
      <x:c r="G79" s="276" t="n">
        <x:f>Assumptions!$E$86+Assumptions!$E$87</x:f>
        <x:v>0.0125</x:v>
      </x:c>
      <x:c r="H79" s="276" t="n">
        <x:f>F79+G79</x:f>
        <x:v>0.060700000000000004</x:v>
      </x:c>
      <x:c r="I79" s="593" t="n">
        <x:f>I78*(1+H79)</x:f>
        <x:v>1.363748986778465</x:v>
      </x:c>
      <x:c r="J79" s="167" t="n">
        <x:f>B79/I79</x:f>
        <x:v>1839.1528657100987</x:v>
      </x:c>
      <x:c r="K79" s="26" t="str">
        <x:v>Purchasing-power and indicative DCF bridge only</x:v>
      </x:c>
      <x:c r="L79" s="26"/>
      <x:c r="M79" s="26"/>
    </x:row>
    <x:row r="80">
      <x:c r="A80" s="26" t="n">
        <x:v>7</x:v>
      </x:c>
      <x:c r="B80" s="167" t="n">
        <x:f>IF(A80&lt;=ROUND(Assumptions!$E$77,0),Assumptions!$E$68/ROUND(Assumptions!$E$77,0),0)</x:f>
        <x:v>2508.1428571428573</x:v>
      </x:c>
      <x:c r="C80" s="276" t="n">
        <x:f>Assumptions!$E$100</x:f>
        <x:v>0.0196</x:v>
      </x:c>
      <x:c r="D80" s="593" t="n">
        <x:f>D79*(1+C80)</x:f>
        <x:v>1.1615612668362851</x:v>
      </x:c>
      <x:c r="E80" s="167" t="n">
        <x:f>B80/D80</x:f>
        <x:v>2159.285892834755</x:v>
      </x:c>
      <x:c r="F80" s="276" t="n">
        <x:f>Assumptions!$E$115</x:f>
        <x:v>0.0496</x:v>
      </x:c>
      <x:c r="G80" s="276" t="n">
        <x:f>Assumptions!$E$86+Assumptions!$E$87</x:f>
        <x:v>0.0125</x:v>
      </x:c>
      <x:c r="H80" s="276" t="n">
        <x:f>F80+G80</x:f>
        <x:v>0.0621</x:v>
      </x:c>
      <x:c r="I80" s="593" t="n">
        <x:f>I79*(1+H80)</x:f>
        <x:v>1.4484377988574075</x:v>
      </x:c>
      <x:c r="J80" s="167" t="n">
        <x:f>B80/I80</x:f>
        <x:v>1731.619306760285</x:v>
      </x:c>
      <x:c r="K80" s="26" t="str">
        <x:v>Purchasing-power and indicative DCF bridge only</x:v>
      </x:c>
      <x:c r="L80" s="26"/>
      <x:c r="M80" s="26"/>
    </x:row>
    <x:row r="81">
      <x:c r="A81" s="26" t="n">
        <x:v>8</x:v>
      </x:c>
      <x:c r="B81" s="167" t="n">
        <x:f>IF(A81&lt;=ROUND(Assumptions!$E$77,0),Assumptions!$E$68/ROUND(Assumptions!$E$77,0),0)</x:f>
        <x:v>0</x:v>
      </x:c>
      <x:c r="C81" s="276" t="n">
        <x:f>Assumptions!$E$101</x:f>
        <x:v>0.0196</x:v>
      </x:c>
      <x:c r="D81" s="593" t="n">
        <x:f>D80*(1+C81)</x:f>
        <x:v>1.1843278676662763</x:v>
      </x:c>
      <x:c r="E81" s="167" t="n">
        <x:f>B81/D81</x:f>
        <x:v>0</x:v>
      </x:c>
      <x:c r="F81" s="276" t="n">
        <x:f>Assumptions!$E$116</x:f>
        <x:v>0.0506</x:v>
      </x:c>
      <x:c r="G81" s="276" t="n">
        <x:f>Assumptions!$E$86+Assumptions!$E$87</x:f>
        <x:v>0.0125</x:v>
      </x:c>
      <x:c r="H81" s="276" t="n">
        <x:f>F81+G81</x:f>
        <x:v>0.0631</x:v>
      </x:c>
      <x:c r="I81" s="593" t="n">
        <x:f>I80*(1+H81)</x:f>
        <x:v>1.5398342239653098</x:v>
      </x:c>
      <x:c r="J81" s="167" t="n">
        <x:f>B81/I81</x:f>
        <x:v>0</x:v>
      </x:c>
      <x:c r="K81" s="26" t="str">
        <x:v>Purchasing-power and indicative DCF bridge only</x:v>
      </x:c>
      <x:c r="L81" s="26"/>
      <x:c r="M81" s="26"/>
    </x:row>
    <x:row r="82">
      <x:c r="A82" s="26" t="n">
        <x:v>9</x:v>
      </x:c>
      <x:c r="B82" s="167" t="n">
        <x:f>IF(A82&lt;=ROUND(Assumptions!$E$77,0),Assumptions!$E$68/ROUND(Assumptions!$E$77,0),0)</x:f>
        <x:v>0</x:v>
      </x:c>
      <x:c r="C82" s="276" t="n">
        <x:f>Assumptions!$E$102</x:f>
        <x:v>0.0196</x:v>
      </x:c>
      <x:c r="D82" s="593" t="n">
        <x:f>D81*(1+C82)</x:f>
        <x:v>1.2075406938725355</x:v>
      </x:c>
      <x:c r="E82" s="167" t="n">
        <x:f>B82/D82</x:f>
        <x:v>0</x:v>
      </x:c>
      <x:c r="F82" s="276" t="n">
        <x:f>Assumptions!$E$117</x:f>
        <x:v>0.0518</x:v>
      </x:c>
      <x:c r="G82" s="276" t="n">
        <x:f>Assumptions!$E$86+Assumptions!$E$87</x:f>
        <x:v>0.0125</x:v>
      </x:c>
      <x:c r="H82" s="276" t="n">
        <x:f>F82+G82</x:f>
        <x:v>0.0643</x:v>
      </x:c>
      <x:c r="I82" s="593" t="n">
        <x:f>I81*(1+H82)</x:f>
        <x:v>1.6388455645662792</x:v>
      </x:c>
      <x:c r="J82" s="167" t="n">
        <x:f>B82/I82</x:f>
        <x:v>0</x:v>
      </x:c>
      <x:c r="K82" s="26" t="str">
        <x:v>Purchasing-power and indicative DCF bridge only</x:v>
      </x:c>
      <x:c r="L82" s="26"/>
      <x:c r="M82" s="26"/>
    </x:row>
    <x:row r="83">
      <x:c r="A83" s="26" t="n">
        <x:v>10</x:v>
      </x:c>
      <x:c r="B83" s="167" t="n">
        <x:f>IF(A83&lt;=ROUND(Assumptions!$E$77,0),Assumptions!$E$68/ROUND(Assumptions!$E$77,0),0)</x:f>
        <x:v>0</x:v>
      </x:c>
      <x:c r="C83" s="276" t="n">
        <x:f>Assumptions!$E$103</x:f>
        <x:v>0.0196</x:v>
      </x:c>
      <x:c r="D83" s="593" t="n">
        <x:f>D82*(1+C83)</x:f>
        <x:v>1.2312084914724373</x:v>
      </x:c>
      <x:c r="E83" s="167" t="n">
        <x:f>B83/D83</x:f>
        <x:v>0</x:v>
      </x:c>
      <x:c r="F83" s="276" t="n">
        <x:f>Assumptions!$E$118</x:f>
        <x:v>0.0531</x:v>
      </x:c>
      <x:c r="G83" s="276" t="n">
        <x:f>Assumptions!$E$86+Assumptions!$E$87</x:f>
        <x:v>0.0125</x:v>
      </x:c>
      <x:c r="H83" s="276" t="n">
        <x:f>F83+G83</x:f>
        <x:v>0.0656</x:v>
      </x:c>
      <x:c r="I83" s="593" t="n">
        <x:f>I82*(1+H83)</x:f>
        <x:v>1.7463538336018272</x:v>
      </x:c>
      <x:c r="J83" s="167" t="n">
        <x:f>B83/I83</x:f>
        <x:v>0</x:v>
      </x:c>
      <x:c r="K83" s="26" t="str">
        <x:v>Purchasing-power and indicative DCF bridge only</x:v>
      </x:c>
      <x:c r="L83" s="26"/>
      <x:c r="M83" s="26"/>
    </x:row>
    <x:row r="84">
      <x:c r="A84" s="26" t="n">
        <x:v>11</x:v>
      </x:c>
      <x:c r="B84" s="167" t="n">
        <x:f>IF(A84&lt;=ROUND(Assumptions!$E$77,0),Assumptions!$E$68/ROUND(Assumptions!$E$77,0),0)</x:f>
        <x:v>0</x:v>
      </x:c>
      <x:c r="C84" s="276" t="n">
        <x:f>Assumptions!$E$104</x:f>
        <x:v>0.0196</x:v>
      </x:c>
      <x:c r="D84" s="593" t="n">
        <x:f>D83*(1+C84)</x:f>
        <x:v>1.255340177905297</x:v>
      </x:c>
      <x:c r="E84" s="167" t="n">
        <x:f>B84/D84</x:f>
        <x:v>0</x:v>
      </x:c>
      <x:c r="F84" s="276" t="n">
        <x:f>Assumptions!$E$119</x:f>
        <x:v>0.0545</x:v>
      </x:c>
      <x:c r="G84" s="276" t="n">
        <x:f>Assumptions!$E$86+Assumptions!$E$87</x:f>
        <x:v>0.0125</x:v>
      </x:c>
      <x:c r="H84" s="276" t="n">
        <x:f>F84+G84</x:f>
        <x:v>0.067</x:v>
      </x:c>
      <x:c r="I84" s="593" t="n">
        <x:f>I83*(1+H84)</x:f>
        <x:v>1.8633595404531496</x:v>
      </x:c>
      <x:c r="J84" s="167" t="n">
        <x:f>B84/I84</x:f>
        <x:v>0</x:v>
      </x:c>
      <x:c r="K84" s="26" t="str">
        <x:v>Purchasing-power and indicative DCF bridge only</x:v>
      </x:c>
      <x:c r="L84" s="26"/>
      <x:c r="M84" s="26"/>
    </x:row>
    <x:row r="85">
      <x:c r="A85" s="26" t="n">
        <x:v>12</x:v>
      </x:c>
      <x:c r="B85" s="167" t="n">
        <x:f>IF(A85&lt;=ROUND(Assumptions!$E$77,0),Assumptions!$E$68/ROUND(Assumptions!$E$77,0),0)</x:f>
        <x:v>0</x:v>
      </x:c>
      <x:c r="C85" s="276" t="n">
        <x:f>Assumptions!$E$105</x:f>
        <x:v>0.0196</x:v>
      </x:c>
      <x:c r="D85" s="593" t="n">
        <x:f>D84*(1+C85)</x:f>
        <x:v>1.279944845392241</x:v>
      </x:c>
      <x:c r="E85" s="167" t="n">
        <x:f>B85/D85</x:f>
        <x:v>0</x:v>
      </x:c>
      <x:c r="F85" s="276" t="n">
        <x:f>Assumptions!$E$120</x:f>
        <x:v>0.056</x:v>
      </x:c>
      <x:c r="G85" s="276" t="n">
        <x:f>Assumptions!$E$86+Assumptions!$E$87</x:f>
        <x:v>0.0125</x:v>
      </x:c>
      <x:c r="H85" s="276" t="n">
        <x:f>F85+G85</x:f>
        <x:v>0.0685</x:v>
      </x:c>
      <x:c r="I85" s="593" t="n">
        <x:f>I84*(1+H85)</x:f>
        <x:v>1.9909996689741902</x:v>
      </x:c>
      <x:c r="J85" s="167" t="n">
        <x:f>B85/I85</x:f>
        <x:v>0</x:v>
      </x:c>
      <x:c r="K85" s="26" t="str">
        <x:v>Purchasing-power and indicative DCF bridge only</x:v>
      </x:c>
      <x:c r="L85" s="26"/>
      <x:c r="M85" s="26"/>
    </x:row>
    <x:row r="86">
      <x:c r="A86" s="26" t="n">
        <x:v>13</x:v>
      </x:c>
      <x:c r="B86" s="167" t="n">
        <x:f>IF(A86&lt;=ROUND(Assumptions!$E$77,0),Assumptions!$E$68/ROUND(Assumptions!$E$77,0),0)</x:f>
        <x:v>0</x:v>
      </x:c>
      <x:c r="C86" s="276" t="n">
        <x:f>Assumptions!$E$106</x:f>
        <x:v>0.0196</x:v>
      </x:c>
      <x:c r="D86" s="593" t="n">
        <x:f>D85*(1+C86)</x:f>
        <x:v>1.3050317643619291</x:v>
      </x:c>
      <x:c r="E86" s="167" t="n">
        <x:f>B86/D86</x:f>
        <x:v>0</x:v>
      </x:c>
      <x:c r="F86" s="276" t="n">
        <x:f>Assumptions!$E$121</x:f>
        <x:v>0.0572</x:v>
      </x:c>
      <x:c r="G86" s="276" t="n">
        <x:f>Assumptions!$E$86+Assumptions!$E$87</x:f>
        <x:v>0.0125</x:v>
      </x:c>
      <x:c r="H86" s="276" t="n">
        <x:f>F86+G86</x:f>
        <x:v>0.0697</x:v>
      </x:c>
      <x:c r="I86" s="593" t="n">
        <x:f>I85*(1+H86)</x:f>
        <x:v>2.1297723459016913</x:v>
      </x:c>
      <x:c r="J86" s="167" t="n">
        <x:f>B86/I86</x:f>
        <x:v>0</x:v>
      </x:c>
      <x:c r="K86" s="26" t="str">
        <x:v>Purchasing-power and indicative DCF bridge only</x:v>
      </x:c>
      <x:c r="L86" s="26"/>
      <x:c r="M86" s="26"/>
    </x:row>
    <x:row r="87">
      <x:c r="A87" s="26" t="n">
        <x:v>14</x:v>
      </x:c>
      <x:c r="B87" s="167" t="n">
        <x:f>IF(A87&lt;=ROUND(Assumptions!$E$77,0),Assumptions!$E$68/ROUND(Assumptions!$E$77,0),0)</x:f>
        <x:v>0</x:v>
      </x:c>
      <x:c r="C87" s="276" t="n">
        <x:f>Assumptions!$E$107</x:f>
        <x:v>0.0196</x:v>
      </x:c>
      <x:c r="D87" s="593" t="n">
        <x:f>D86*(1+C87)</x:f>
        <x:v>1.330610386943423</x:v>
      </x:c>
      <x:c r="E87" s="167" t="n">
        <x:f>B87/D87</x:f>
        <x:v>0</x:v>
      </x:c>
      <x:c r="F87" s="276" t="n">
        <x:f>Assumptions!$E$122</x:f>
        <x:v>0.058</x:v>
      </x:c>
      <x:c r="G87" s="276" t="n">
        <x:f>Assumptions!$E$86+Assumptions!$E$87</x:f>
        <x:v>0.0125</x:v>
      </x:c>
      <x:c r="H87" s="276" t="n">
        <x:f>F87+G87</x:f>
        <x:v>0.07050000000000001</x:v>
      </x:c>
      <x:c r="I87" s="593" t="n">
        <x:f>I86*(1+H87)</x:f>
        <x:v>2.2799212962877604</x:v>
      </x:c>
      <x:c r="J87" s="167" t="n">
        <x:f>B87/I87</x:f>
        <x:v>0</x:v>
      </x:c>
      <x:c r="K87" s="26" t="str">
        <x:v>Purchasing-power and indicative DCF bridge only</x:v>
      </x:c>
      <x:c r="L87" s="26"/>
      <x:c r="M87" s="26"/>
    </x:row>
    <x:row r="88">
      <x:c r="A88" s="26" t="n">
        <x:v>15</x:v>
      </x:c>
      <x:c r="B88" s="167" t="n">
        <x:f>IF(A88&lt;=ROUND(Assumptions!$E$77,0),Assumptions!$E$68/ROUND(Assumptions!$E$77,0),0)</x:f>
        <x:v>0</x:v>
      </x:c>
      <x:c r="C88" s="276" t="n">
        <x:f>Assumptions!$E$108</x:f>
        <x:v>0.0196</x:v>
      </x:c>
      <x:c r="D88" s="593" t="n">
        <x:f>D87*(1+C88)</x:f>
        <x:v>1.356690350527514</x:v>
      </x:c>
      <x:c r="E88" s="167" t="n">
        <x:f>B88/D88</x:f>
        <x:v>0</x:v>
      </x:c>
      <x:c r="F88" s="276" t="n">
        <x:f>Assumptions!$E$123</x:f>
        <x:v>0.0584</x:v>
      </x:c>
      <x:c r="G88" s="276" t="n">
        <x:f>Assumptions!$E$86+Assumptions!$E$87</x:f>
        <x:v>0.0125</x:v>
      </x:c>
      <x:c r="H88" s="276" t="n">
        <x:f>F88+G88</x:f>
        <x:v>0.0709</x:v>
      </x:c>
      <x:c r="I88" s="593" t="n">
        <x:f>I87*(1+H88)</x:f>
        <x:v>2.4415677161945624</x:v>
      </x:c>
      <x:c r="J88" s="167" t="n">
        <x:f>B88/I88</x:f>
        <x:v>0</x:v>
      </x:c>
      <x:c r="K88" s="26" t="str">
        <x:v>Purchasing-power and indicative DCF bridge only</x:v>
      </x:c>
      <x:c r="L88" s="26"/>
      <x:c r="M88" s="26"/>
    </x:row>
    <x:row r="89">
      <x:c r="A89" s="26"/>
      <x:c r="B89" s="26"/>
      <x:c r="C89" s="26"/>
      <x:c r="D89" s="26"/>
      <x:c r="E89" s="26"/>
      <x:c r="F89" s="26"/>
      <x:c r="G89" s="26"/>
      <x:c r="H89" s="26"/>
      <x:c r="I89" s="26"/>
      <x:c r="J89" s="26"/>
      <x:c r="K89" s="26"/>
      <x:c r="L89" s="26"/>
      <x:c r="M89" s="26"/>
    </x:row>
    <x:row r="90" ht="28" customHeight="1">
      <x:c r="A90" s="527" t="str">
        <x:v>View</x:v>
      </x:c>
      <x:c r="B90" s="527" t="str">
        <x:v>Amount on audited median loan</x:v>
      </x:c>
      <x:c r="C90" s="527" t="str">
        <x:v>Calculation</x:v>
      </x:c>
      <x:c r="D90" s="527" t="str">
        <x:v>Can be added to official fair-value cost?</x:v>
      </x:c>
      <x:c r="E90" s="527" t="str">
        <x:v>Interpretation</x:v>
      </x:c>
      <x:c r="F90" s="26"/>
      <x:c r="G90" s="26"/>
      <x:c r="H90" s="26"/>
      <x:c r="I90" s="26"/>
      <x:c r="J90" s="26"/>
      <x:c r="K90" s="26"/>
      <x:c r="L90" s="26"/>
      <x:c r="M90" s="26"/>
    </x:row>
    <x:row r="91">
      <x:c r="A91" s="26" t="str">
        <x:v>A. Origination — official fair-value write-down</x:v>
      </x:c>
      <x:c r="B91" s="167" t="n">
        <x:f>Assumptions!$E$68*Assumptions!$E$80</x:f>
        <x:v>6011.516799999999</x:v>
      </x:c>
      <x:c r="C91" s="26" t="str">
        <x:v>Principal × 34.24%</x:v>
      </x:c>
      <x:c r="D91" s="576" t="str">
        <x:v>Central measure</x:v>
      </x:c>
      <x:c r="E91" s="26" t="str">
        <x:v>Expected lifetime cost recognised when lending occurs.</x:v>
      </x:c>
      <x:c r="F91" s="26"/>
      <x:c r="G91" s="26"/>
      <x:c r="H91" s="26"/>
      <x:c r="I91" s="26"/>
      <x:c r="J91" s="26"/>
      <x:c r="K91" s="26"/>
      <x:c r="L91" s="26"/>
      <x:c r="M91" s="26"/>
    </x:row>
    <x:row r="92">
      <x:c r="A92" s="26" t="str">
        <x:v>B. Carrying-cost view</x:v>
      </x:c>
      <x:c r="B92" s="167" t="n">
        <x:f>(Assumptions!$E$68-B91)*Assumptions!$E$84</x:f>
        <x:v>654.6288974400001</x:v>
      </x:c>
      <x:c r="C92" s="26" t="str">
        <x:v>Estimated fair-value asset avoided × 5.67%</x:v>
      </x:c>
      <x:c r="D92" s="576" t="str">
        <x:v>No</x:v>
      </x:c>
      <x:c r="E92" s="26" t="str">
        <x:v>Annual cost-of-capital perspective on the remaining asset.</x:v>
      </x:c>
      <x:c r="F92" s="26"/>
      <x:c r="G92" s="26"/>
      <x:c r="H92" s="26"/>
      <x:c r="I92" s="26"/>
      <x:c r="J92" s="26"/>
      <x:c r="K92" s="26"/>
      <x:c r="L92" s="26"/>
      <x:c r="M92" s="26"/>
    </x:row>
    <x:row r="93">
      <x:c r="A93" s="574" t="str">
        <x:v>C. Purchasing-power view</x:v>
      </x:c>
      <x:c r="B93" s="575" t="n">
        <x:f>SUM(B74:B88)-SUM(E74:E88)</x:f>
        <x:v>1496.5039229781141</x:v>
      </x:c>
      <x:c r="C93" s="574" t="str">
        <x:v>Nominal repayments − CPI-deflated repayments</x:v>
      </x:c>
      <x:c r="D93" s="577" t="str">
        <x:v>No</x:v>
      </x:c>
      <x:c r="E93" s="574" t="str">
        <x:v>Shows why delayed nominal recovery loses real value.</x:v>
      </x:c>
      <x:c r="F93" s="26"/>
      <x:c r="G93" s="26"/>
      <x:c r="H93" s="26"/>
      <x:c r="I93" s="26"/>
      <x:c r="J93" s="26"/>
      <x:c r="K93" s="26"/>
      <x:c r="L93" s="26"/>
      <x:c r="M93" s="26"/>
    </x:row>
    <x:row r="94">
      <x:c r="A94" s="574" t="str">
        <x:v>Indicative discounted-cash-flow view</x:v>
      </x:c>
      <x:c r="B94" s="575" t="n">
        <x:f>Assumptions!$E$68-SUM(J74:J88)</x:f>
        <x:v>3095.4689610350524</x:v>
      </x:c>
      <x:c r="C94" s="574" t="str">
        <x:v>Nominal principal − PV of repayments</x:v>
      </x:c>
      <x:c r="D94" s="577" t="str">
        <x:v>No</x:v>
      </x:c>
      <x:c r="E94" s="574" t="str">
        <x:v>Simplified curve-based bridge; not a recreation of the official actuarial model.</x:v>
      </x:c>
      <x:c r="F94" s="26"/>
      <x:c r="G94" s="26"/>
      <x:c r="H94" s="26"/>
      <x:c r="I94" s="26"/>
      <x:c r="J94" s="26"/>
      <x:c r="K94" s="26"/>
      <x:c r="L94" s="26"/>
      <x:c r="M94" s="26"/>
    </x:row>
    <x:row r="95">
      <x:c r="A95" s="26"/>
      <x:c r="B95" s="26"/>
      <x:c r="C95" s="26"/>
      <x:c r="D95" s="26"/>
      <x:c r="E95" s="26"/>
      <x:c r="F95" s="26"/>
      <x:c r="G95" s="26"/>
      <x:c r="H95" s="26"/>
      <x:c r="I95" s="26"/>
      <x:c r="J95" s="26"/>
      <x:c r="K95" s="26"/>
      <x:c r="L95" s="26"/>
      <x:c r="M95" s="26"/>
    </x:row>
    <x:row r="96" ht="22" customHeight="1">
      <x:c r="A96" s="587" t="str">
        <x:v>Crown student-loan offset — expected per participant</x:v>
      </x:c>
      <x:c r="B96" s="587" t="str">
        <x:v>Crown student-loan offset — expected per participant</x:v>
      </x:c>
      <x:c r="C96" s="587" t="str">
        <x:v>Crown student-loan offset — expected per participant</x:v>
      </x:c>
      <x:c r="D96" s="587" t="str">
        <x:v>Crown student-loan offset — expected per participant</x:v>
      </x:c>
      <x:c r="E96" s="587" t="str">
        <x:v>Crown student-loan offset — expected per participant</x:v>
      </x:c>
      <x:c r="F96" s="587" t="str">
        <x:v>Crown student-loan offset — expected per participant</x:v>
      </x:c>
      <x:c r="G96" s="587" t="str">
        <x:v>Crown student-loan offset — expected per participant</x:v>
      </x:c>
      <x:c r="H96" s="587" t="str">
        <x:v>Crown student-loan offset — expected per participant</x:v>
      </x:c>
      <x:c r="I96" s="587" t="str">
        <x:v>Crown student-loan offset — expected per participant</x:v>
      </x:c>
      <x:c r="J96" s="587" t="str">
        <x:v>Crown student-loan offset — expected per participant</x:v>
      </x:c>
      <x:c r="K96" s="587" t="str">
        <x:v>Crown student-loan offset — expected per participant</x:v>
      </x:c>
      <x:c r="L96" s="587" t="str">
        <x:v>Crown student-loan offset — expected per participant</x:v>
      </x:c>
      <x:c r="M96" s="587" t="str">
        <x:v>Crown student-loan offset — expected per participant</x:v>
      </x:c>
    </x:row>
    <x:row r="97" ht="28" customHeight="1">
      <x:c r="A97" s="527" t="str">
        <x:v>Metric</x:v>
      </x:c>
      <x:c r="B97" s="527" t="str">
        <x:v>Low</x:v>
      </x:c>
      <x:c r="C97" s="527" t="str">
        <x:v>Central</x:v>
      </x:c>
      <x:c r="D97" s="527" t="str">
        <x:v>High</x:v>
      </x:c>
      <x:c r="E97" s="527" t="str">
        <x:v>Unit</x:v>
      </x:c>
      <x:c r="F97" s="26"/>
      <x:c r="G97" s="527" t="str">
        <x:v>Critical non-additivity and ownership controls</x:v>
      </x:c>
      <x:c r="H97" s="527"/>
      <x:c r="I97" s="527"/>
      <x:c r="J97" s="527"/>
      <x:c r="K97" s="527"/>
      <x:c r="L97" s="527"/>
      <x:c r="M97" s="527"/>
    </x:row>
    <x:row r="98">
      <x:c r="A98" s="166" t="str">
        <x:v>Tertiary entry</x:v>
      </x:c>
      <x:c r="B98" s="276" t="n">
        <x:f>Assumptions!$D$70</x:f>
        <x:v>0.45</x:v>
      </x:c>
      <x:c r="C98" s="276" t="n">
        <x:f>Assumptions!$E$70</x:f>
        <x:v>0.55</x:v>
      </x:c>
      <x:c r="D98" s="276" t="n">
        <x:f>Assumptions!$F$70</x:f>
        <x:v>0.65</x:v>
      </x:c>
      <x:c r="E98" s="26" t="str">
        <x:v>%</x:v>
      </x:c>
      <x:c r="F98" s="26"/>
      <x:c r="G98" s="581" t="str">
        <x:v>• The full student-loan principal displaced is not a Crown saving; the Crown also forgoes repayments.
• The official initial fair-value cost avoided is the central origination measure.
• Cost of ownership, inflation erosion and simplified DCF effects are alternative views and are not added.
• Account balance, approved education costs paid and student debt avoided describe the same financial resource from different perspectives.
• Legal ownership, beneficial ownership, Crown control, vesting, withdrawal restrictions, tax and public-sector accounting require specialist advice.
• Returns are not guaranteed. Market losses, fees, tax and lifecycle de-risking can reduce the closing balance.</x:v>
      </x:c>
      <x:c r="H98" s="581"/>
      <x:c r="I98" s="581"/>
      <x:c r="J98" s="581"/>
      <x:c r="K98" s="581"/>
      <x:c r="L98" s="581"/>
      <x:c r="M98" s="581"/>
    </x:row>
    <x:row r="99">
      <x:c r="A99" s="166" t="str">
        <x:v>Apprenticeship entry</x:v>
      </x:c>
      <x:c r="B99" s="276" t="n">
        <x:f>Assumptions!$D$71</x:f>
        <x:v>0.08</x:v>
      </x:c>
      <x:c r="C99" s="276" t="n">
        <x:f>Assumptions!$E$71</x:f>
        <x:v>0.12</x:v>
      </x:c>
      <x:c r="D99" s="276" t="n">
        <x:f>Assumptions!$F$71</x:f>
        <x:v>0.15</x:v>
      </x:c>
      <x:c r="E99" s="26" t="str">
        <x:v>%</x:v>
      </x:c>
      <x:c r="F99" s="26"/>
      <x:c r="G99" s="581"/>
      <x:c r="H99" s="581"/>
      <x:c r="I99" s="581"/>
      <x:c r="J99" s="581"/>
      <x:c r="K99" s="581"/>
      <x:c r="L99" s="581"/>
      <x:c r="M99" s="581"/>
    </x:row>
    <x:row r="100">
      <x:c r="A100" s="166" t="str">
        <x:v>Approved-use account utilisation</x:v>
      </x:c>
      <x:c r="B100" s="276" t="n">
        <x:f>Assumptions!$D$72</x:f>
        <x:v>0.65</x:v>
      </x:c>
      <x:c r="C100" s="276" t="n">
        <x:f>Assumptions!$E$72</x:f>
        <x:v>0.8</x:v>
      </x:c>
      <x:c r="D100" s="276" t="n">
        <x:f>Assumptions!$F$72</x:f>
        <x:v>0.9</x:v>
      </x:c>
      <x:c r="E100" s="26" t="str">
        <x:v>%</x:v>
      </x:c>
      <x:c r="F100" s="26"/>
      <x:c r="G100" s="581"/>
      <x:c r="H100" s="581"/>
      <x:c r="I100" s="581"/>
      <x:c r="J100" s="581"/>
      <x:c r="K100" s="581"/>
      <x:c r="L100" s="581"/>
      <x:c r="M100" s="581"/>
    </x:row>
    <x:row r="101">
      <x:c r="A101" s="166" t="str">
        <x:v>Counterfactual borrowing probability</x:v>
      </x:c>
      <x:c r="B101" s="276" t="n">
        <x:f>Assumptions!$D$73</x:f>
        <x:v>0.45</x:v>
      </x:c>
      <x:c r="C101" s="276" t="n">
        <x:f>Assumptions!$E$73</x:f>
        <x:v>0.6</x:v>
      </x:c>
      <x:c r="D101" s="276" t="n">
        <x:f>Assumptions!$F$73</x:f>
        <x:v>0.75</x:v>
      </x:c>
      <x:c r="E101" s="26" t="str">
        <x:v>%</x:v>
      </x:c>
      <x:c r="F101" s="26"/>
      <x:c r="G101" s="581"/>
      <x:c r="H101" s="581"/>
      <x:c r="I101" s="581"/>
      <x:c r="J101" s="581"/>
      <x:c r="K101" s="581"/>
      <x:c r="L101" s="581"/>
      <x:c r="M101" s="581"/>
    </x:row>
    <x:row r="102">
      <x:c r="A102" s="166" t="str">
        <x:v>Borrowing-displacement factor</x:v>
      </x:c>
      <x:c r="B102" s="276" t="n">
        <x:f>Assumptions!$D$74</x:f>
        <x:v>0.6</x:v>
      </x:c>
      <x:c r="C102" s="276" t="n">
        <x:f>Assumptions!$E$74</x:f>
        <x:v>0.8</x:v>
      </x:c>
      <x:c r="D102" s="276" t="n">
        <x:f>Assumptions!$F$74</x:f>
        <x:v>0.95</x:v>
      </x:c>
      <x:c r="E102" s="26" t="str">
        <x:v>%</x:v>
      </x:c>
      <x:c r="F102" s="26"/>
      <x:c r="G102" s="581"/>
      <x:c r="H102" s="581"/>
      <x:c r="I102" s="581"/>
      <x:c r="J102" s="581"/>
      <x:c r="K102" s="581"/>
      <x:c r="L102" s="581"/>
      <x:c r="M102" s="581"/>
    </x:row>
    <x:row r="103">
      <x:c r="A103" s="166" t="str">
        <x:v>Eligible account withdrawal</x:v>
      </x:c>
      <x:c r="B103" s="167" t="n">
        <x:f>MIN(B26,Assumptions!$D$64)*(B98+B99)*B100</x:f>
        <x:v>2128.169511811891</x:v>
      </x:c>
      <x:c r="C103" s="167" t="n">
        <x:f>MIN(C26,Assumptions!$E$64)*(C98+C99)*C100</x:f>
        <x:v>5725.324138831373</x:v>
      </x:c>
      <x:c r="D103" s="167" t="n">
        <x:f>MIN(D26,Assumptions!$F$64)*(D98+D99)*D100</x:f>
        <x:v>10455.046688012439</x:v>
      </x:c>
      <x:c r="E103" s="26" t="str">
        <x:v>NZD</x:v>
      </x:c>
      <x:c r="F103" s="26"/>
      <x:c r="G103" s="581"/>
      <x:c r="H103" s="581"/>
      <x:c r="I103" s="581"/>
      <x:c r="J103" s="581"/>
      <x:c r="K103" s="581"/>
      <x:c r="L103" s="581"/>
      <x:c r="M103" s="581"/>
    </x:row>
    <x:row r="104">
      <x:c r="A104" s="166" t="str">
        <x:v>Gross student-loan principal displaced</x:v>
      </x:c>
      <x:c r="B104" s="167" t="n">
        <x:f>B103*B101*B102</x:f>
        <x:v>574.6057681892105</x:v>
      </x:c>
      <x:c r="C104" s="167" t="n">
        <x:f>C103*C101*C102</x:f>
        <x:v>2748.155586639059</x:v>
      </x:c>
      <x:c r="D104" s="167" t="n">
        <x:f>D103*D101*D102</x:f>
        <x:v>7449.220765208863</x:v>
      </x:c>
      <x:c r="E104" s="26" t="str">
        <x:v>NZD</x:v>
      </x:c>
      <x:c r="F104" s="26"/>
      <x:c r="G104" s="581"/>
      <x:c r="H104" s="581"/>
      <x:c r="I104" s="581"/>
      <x:c r="J104" s="581"/>
      <x:c r="K104" s="581"/>
      <x:c r="L104" s="581"/>
      <x:c r="M104" s="581"/>
    </x:row>
    <x:row r="105">
      <x:c r="A105" s="166" t="str">
        <x:v>Initial fair-value cost avoided</x:v>
      </x:c>
      <x:c r="B105" s="167" t="n">
        <x:f>B104*Assumptions!$D$80</x:f>
        <x:v>196.74501502798566</x:v>
      </x:c>
      <x:c r="C105" s="167" t="n">
        <x:f>C104*Assumptions!$E$80</x:f>
        <x:v>940.9684728652138</x:v>
      </x:c>
      <x:c r="D105" s="167" t="n">
        <x:f>D104*Assumptions!$F$80</x:f>
        <x:v>2550.6131900075143</x:v>
      </x:c>
      <x:c r="E105" s="26" t="str">
        <x:v>NZD</x:v>
      </x:c>
      <x:c r="F105" s="26"/>
      <x:c r="G105" s="581"/>
      <x:c r="H105" s="581"/>
      <x:c r="I105" s="581"/>
      <x:c r="J105" s="581"/>
      <x:c r="K105" s="581"/>
      <x:c r="L105" s="581"/>
      <x:c r="M105" s="581"/>
    </x:row>
    <x:row r="106">
      <x:c r="A106" s="166" t="str">
        <x:v>Potential marginal loan-administration saving</x:v>
      </x:c>
      <x:c r="B106" s="167" t="n">
        <x:f>IF(B104&gt;=Assumptions!$D$68,Assumptions!$D$88,0)</x:f>
        <x:v>0</x:v>
      </x:c>
      <x:c r="C106" s="167" t="n">
        <x:f>IF(C104&gt;=Assumptions!$E$68,Assumptions!$E$88,0)</x:f>
        <x:v>0</x:v>
      </x:c>
      <x:c r="D106" s="167" t="n">
        <x:f>IF(D104&gt;=Assumptions!$F$68,Assumptions!$F$88,0)</x:f>
        <x:v>0</x:v>
      </x:c>
      <x:c r="E106" s="26" t="str">
        <x:v>NZD</x:v>
      </x:c>
      <x:c r="F106" s="26"/>
      <x:c r="G106" s="581"/>
      <x:c r="H106" s="581"/>
      <x:c r="I106" s="581"/>
      <x:c r="J106" s="581"/>
      <x:c r="K106" s="581"/>
      <x:c r="L106" s="581"/>
      <x:c r="M106" s="581"/>
    </x:row>
    <x:row r="107">
      <x:c r="A107" s="166" t="str">
        <x:v>Learning Capital administration</x:v>
      </x:c>
      <x:c r="B107" s="167" t="n">
        <x:f>Assumptions!$D$63*Assumptions!$D$56</x:f>
        <x:v>100</x:v>
      </x:c>
      <x:c r="C107" s="167" t="n">
        <x:f>Assumptions!$E$63*Assumptions!$E$56</x:f>
        <x:v>125</x:v>
      </x:c>
      <x:c r="D107" s="167" t="n">
        <x:f>Assumptions!$F$63*Assumptions!$F$56</x:f>
        <x:v>175</x:v>
      </x:c>
      <x:c r="E107" s="26" t="str">
        <x:v>NZD</x:v>
      </x:c>
      <x:c r="F107" s="26"/>
      <x:c r="G107" s="581"/>
      <x:c r="H107" s="581"/>
      <x:c r="I107" s="581"/>
      <x:c r="J107" s="581"/>
      <x:c r="K107" s="581"/>
      <x:c r="L107" s="581"/>
      <x:c r="M107" s="581"/>
    </x:row>
    <x:row r="108">
      <x:c r="A108" s="166" t="str">
        <x:v>Incremental tertiary-system fiscal cost</x:v>
      </x:c>
      <x:c r="B108" s="167" t="n">
        <x:f>(B98+B99)*Assumptions!$D$76*Assumptions!$D$89</x:f>
        <x:v>159.00000000000003</x:v>
      </x:c>
      <x:c r="C108" s="167" t="n">
        <x:f>(C98+C99)*Assumptions!$E$76*Assumptions!$E$89</x:f>
        <x:v>536</x:v>
      </x:c>
      <x:c r="D108" s="167" t="n">
        <x:f>(D98+D99)*Assumptions!$F$76*Assumptions!$F$89</x:f>
        <x:v>1200</x:v>
      </x:c>
      <x:c r="E108" s="26" t="str">
        <x:v>NZD</x:v>
      </x:c>
      <x:c r="F108" s="26"/>
      <x:c r="G108" s="581"/>
      <x:c r="H108" s="581"/>
      <x:c r="I108" s="581"/>
      <x:c r="J108" s="581"/>
      <x:c r="K108" s="581"/>
      <x:c r="L108" s="581"/>
      <x:c r="M108" s="581"/>
    </x:row>
    <x:row r="109">
      <x:c r="A109" s="594" t="str">
        <x:v>Net Crown fiscal offset after account administration</x:v>
      </x:c>
      <x:c r="B109" s="595" t="n">
        <x:f>B105+B106-B107-B108</x:f>
        <x:v>-62.25498497201437</x:v>
      </x:c>
      <x:c r="C109" s="595" t="n">
        <x:f>C105+C106-C107-C108</x:f>
        <x:v>279.9684728652138</x:v>
      </x:c>
      <x:c r="D109" s="595" t="n">
        <x:f>D105+D106-D107-D108</x:f>
        <x:v>1175.6131900075143</x:v>
      </x:c>
      <x:c r="E109" s="596" t="str">
        <x:v>NZD</x:v>
      </x:c>
      <x:c r="F109" s="26"/>
      <x:c r="G109" s="581"/>
      <x:c r="H109" s="581"/>
      <x:c r="I109" s="581"/>
      <x:c r="J109" s="581"/>
      <x:c r="K109" s="581"/>
      <x:c r="L109" s="581"/>
      <x:c r="M109" s="581"/>
    </x:row>
    <x:row r="110">
      <x:c r="A110" s="166" t="str">
        <x:v>Annual student-loan asset avoided</x:v>
      </x:c>
      <x:c r="B110" s="167" t="n">
        <x:f>B104*(1-Assumptions!$D$80)</x:f>
        <x:v>377.8607531612248</x:v>
      </x:c>
      <x:c r="C110" s="167" t="n">
        <x:f>C104*(1-Assumptions!$E$80)</x:f>
        <x:v>1807.187113773845</x:v>
      </x:c>
      <x:c r="D110" s="167" t="n">
        <x:f>D104*(1-Assumptions!$F$80)</x:f>
        <x:v>4898.607575201348</x:v>
      </x:c>
      <x:c r="E110" s="26" t="str">
        <x:v>NZD fair-value proxy</x:v>
      </x:c>
      <x:c r="F110" s="26"/>
      <x:c r="G110" s="581"/>
      <x:c r="H110" s="581"/>
      <x:c r="I110" s="581"/>
      <x:c r="J110" s="581"/>
      <x:c r="K110" s="581"/>
      <x:c r="L110" s="581"/>
      <x:c r="M110" s="581"/>
    </x:row>
    <x:row r="111">
      <x:c r="A111" s="588" t="str">
        <x:v>Potential annual cost-of-ownership reduction</x:v>
      </x:c>
      <x:c r="B111" s="575" t="n">
        <x:f>B110*Assumptions!$D$84</x:f>
        <x:v>21.424704704241446</x:v>
      </x:c>
      <x:c r="C111" s="575" t="n">
        <x:f>C110*Assumptions!$E$84</x:f>
        <x:v>102.46750935097702</x:v>
      </x:c>
      <x:c r="D111" s="575" t="n">
        <x:f>D110*Assumptions!$F$84</x:f>
        <x:v>277.7510495139164</x:v>
      </x:c>
      <x:c r="E111" s="574" t="str">
        <x:v>NZD non-additive</x:v>
      </x:c>
      <x:c r="F111" s="26"/>
      <x:c r="G111" s="581"/>
      <x:c r="H111" s="581"/>
      <x:c r="I111" s="581"/>
      <x:c r="J111" s="581"/>
      <x:c r="K111" s="581"/>
      <x:c r="L111" s="581"/>
      <x:c r="M111" s="581"/>
    </x:row>
    <x:row r="112">
      <x:c r="A112" s="588" t="str">
        <x:v>Inflation erosion avoided</x:v>
      </x:c>
      <x:c r="B112" s="575" t="n">
        <x:f>B104*(1-SUM($E$74:$E$88)/SUM($B$74:$B$88))</x:f>
        <x:v>48.977603591787094</x:v>
      </x:c>
      <x:c r="C112" s="575" t="n">
        <x:f>C104*(1-SUM($E$74:$E$88)/SUM($B$74:$B$88))</x:f>
        <x:v>234.24421121829303</x:v>
      </x:c>
      <x:c r="D112" s="575" t="n">
        <x:f>D104*(1-SUM($E$74:$E$88)/SUM($B$74:$B$88))</x:f>
        <x:v>634.9483452904874</x:v>
      </x:c>
      <x:c r="E112" s="574" t="str">
        <x:v>NZD non-additive</x:v>
      </x:c>
      <x:c r="F112" s="26"/>
      <x:c r="G112" s="581"/>
      <x:c r="H112" s="581"/>
      <x:c r="I112" s="581"/>
      <x:c r="J112" s="581"/>
      <x:c r="K112" s="581"/>
      <x:c r="L112" s="581"/>
      <x:c r="M112" s="581"/>
    </x:row>
    <x:row r="113">
      <x:c r="A113" s="166" t="str">
        <x:v>Net offset as % of locked contributions</x:v>
      </x:c>
      <x:c r="B113" s="276" t="n">
        <x:f>IF(B23=0,0,B109/B23)</x:f>
        <x:v>-0.010485050100549788</x:v>
      </x:c>
      <x:c r="C113" s="276" t="n">
        <x:f>IF(C23=0,0,C109/C23)</x:f>
        <x:v>0.028714715165662954</x:v>
      </x:c>
      <x:c r="D113" s="276" t="n">
        <x:f>IF(D23=0,0,D109/D23)</x:f>
        <x:v>0.0933026341275805</x:v>
      </x:c>
      <x:c r="E113" s="26" t="str">
        <x:v>%</x:v>
      </x:c>
      <x:c r="F113" s="26"/>
      <x:c r="G113" s="581"/>
      <x:c r="H113" s="581"/>
      <x:c r="I113" s="581"/>
      <x:c r="J113" s="581"/>
      <x:c r="K113" s="581"/>
      <x:c r="L113" s="581"/>
      <x:c r="M113" s="581"/>
    </x:row>
    <x:row r="114">
      <x:c r="A114" s="166" t="str">
        <x:v>Net offset as % of total participation payments</x:v>
      </x:c>
      <x:c r="B114" s="276" t="n">
        <x:f>IF(B21=0,0,B109/B21)</x:f>
        <x:v>-0.005242525050274894</x:v>
      </x:c>
      <x:c r="C114" s="276" t="n">
        <x:f>IF(C21=0,0,C109/C21)</x:f>
        <x:v>0.014357357582831477</x:v>
      </x:c>
      <x:c r="D114" s="276" t="n">
        <x:f>IF(D21=0,0,D109/D21)</x:f>
        <x:v>0.04665131706379025</x:v>
      </x:c>
      <x:c r="E114" s="26" t="str">
        <x:v>%</x:v>
      </x:c>
      <x:c r="F114" s="26"/>
      <x:c r="G114" s="581"/>
      <x:c r="H114" s="581"/>
      <x:c r="I114" s="581"/>
      <x:c r="J114" s="581"/>
      <x:c r="K114" s="581"/>
      <x:c r="L114" s="581"/>
      <x:c r="M114" s="581"/>
    </x:row>
  </x:sheetData>
  <x:mergeCells>
    <x:mergeCell ref="A1:M1"/>
    <x:mergeCell ref="A2:M2"/>
    <x:mergeCell ref="A20:M20"/>
    <x:mergeCell ref="A40:M40"/>
    <x:mergeCell ref="A47:G47"/>
    <x:mergeCell ref="A49:M49"/>
    <x:mergeCell ref="A58:M58"/>
    <x:mergeCell ref="A59:M61"/>
    <x:mergeCell ref="A96:M96"/>
    <x:mergeCell ref="G97:M97"/>
    <x:mergeCell ref="G98:M114"/>
  </x:mergeCells>
  <x:pageMargins left="0.7" right="0.7" top="0.75" bottom="0.75" header="0.3" footer="0.3"/>
</x:worksheet>
</file>

<file path=xl/worksheets/sheet15.xml><?xml version="1.0" encoding="utf-8"?>
<x:worksheet xmlns:x="http://schemas.openxmlformats.org/spreadsheetml/2006/main">
  <x:sheetFormatPr defaultRowHeight="15"/>
  <x:cols>
    <x:col min="1" max="1" width="9" hidden="0" customWidth="1"/>
    <x:col min="2" max="2" width="28" hidden="0" customWidth="1"/>
    <x:col min="3" max="3" width="16" hidden="0" customWidth="1"/>
    <x:col min="4" max="4" width="17" hidden="0" customWidth="1"/>
    <x:col min="5" max="5" width="17" hidden="0" customWidth="1"/>
    <x:col min="6" max="6" width="17" hidden="0" customWidth="1"/>
    <x:col min="7" max="7" width="14" hidden="0" customWidth="1"/>
    <x:col min="8" max="8" width="17" hidden="0" customWidth="1"/>
    <x:col min="9" max="9" width="17" hidden="0" customWidth="1"/>
    <x:col min="10" max="10" width="17" hidden="0" customWidth="1"/>
    <x:col min="11" max="11" width="18" hidden="0" customWidth="1"/>
    <x:col min="12" max="12" width="18" hidden="0" customWidth="1"/>
    <x:col min="13" max="13" width="18" hidden="0" customWidth="1"/>
    <x:col min="14" max="14" width="16" hidden="0" customWidth="1"/>
    <x:col min="15" max="15" width="18" hidden="0" customWidth="1"/>
    <x:col min="16" max="16" width="18" hidden="0" customWidth="1"/>
    <x:col min="17" max="17" width="18" hidden="0" customWidth="1"/>
  </x:cols>
  <x:sheetData>
    <x:row r="1" ht="30" customHeight="1">
      <x:c r="A1" s="533" t="str">
        <x:v>Fifteen-Year Learning Capital Cohort Bridge</x:v>
      </x:c>
      <x:c r="B1" s="533"/>
      <x:c r="C1" s="533"/>
      <x:c r="D1" s="533"/>
      <x:c r="E1" s="533"/>
      <x:c r="F1" s="533"/>
      <x:c r="G1" s="533"/>
      <x:c r="H1" s="533"/>
      <x:c r="I1" s="533"/>
      <x:c r="J1" s="533"/>
      <x:c r="K1" s="533"/>
      <x:c r="L1" s="533"/>
      <x:c r="M1" s="533"/>
      <x:c r="N1" s="533"/>
      <x:c r="O1" s="533"/>
      <x:c r="P1" s="533"/>
      <x:c r="Q1" s="533"/>
    </x:row>
    <x:row r="2" ht="28" customHeight="1">
      <x:c r="A2" s="537" t="str">
        <x:v>One central national annual entrant cohort. Secondary-school payments occur first; education withdrawals and student-loan offsets arise later.</x:v>
      </x:c>
      <x:c r="B2" s="537" t="str">
        <x:v>One central national annual entrant cohort. Secondary-school payments occur first; education withdrawals and student-loan offsets arise later.</x:v>
      </x:c>
      <x:c r="C2" s="537" t="str">
        <x:v>One central national annual entrant cohort. Secondary-school payments occur first; education withdrawals and student-loan offsets arise later.</x:v>
      </x:c>
      <x:c r="D2" s="537" t="str">
        <x:v>One central national annual entrant cohort. Secondary-school payments occur first; education withdrawals and student-loan offsets arise later.</x:v>
      </x:c>
      <x:c r="E2" s="537" t="str">
        <x:v>One central national annual entrant cohort. Secondary-school payments occur first; education withdrawals and student-loan offsets arise later.</x:v>
      </x:c>
      <x:c r="F2" s="537" t="str">
        <x:v>One central national annual entrant cohort. Secondary-school payments occur first; education withdrawals and student-loan offsets arise later.</x:v>
      </x:c>
      <x:c r="G2" s="537" t="str">
        <x:v>One central national annual entrant cohort. Secondary-school payments occur first; education withdrawals and student-loan offsets arise later.</x:v>
      </x:c>
      <x:c r="H2" s="537" t="str">
        <x:v>One central national annual entrant cohort. Secondary-school payments occur first; education withdrawals and student-loan offsets arise later.</x:v>
      </x:c>
      <x:c r="I2" s="537" t="str">
        <x:v>One central national annual entrant cohort. Secondary-school payments occur first; education withdrawals and student-loan offsets arise later.</x:v>
      </x:c>
      <x:c r="J2" s="537" t="str">
        <x:v>One central national annual entrant cohort. Secondary-school payments occur first; education withdrawals and student-loan offsets arise later.</x:v>
      </x:c>
      <x:c r="K2" s="537" t="str">
        <x:v>One central national annual entrant cohort. Secondary-school payments occur first; education withdrawals and student-loan offsets arise later.</x:v>
      </x:c>
      <x:c r="L2" s="537" t="str">
        <x:v>One central national annual entrant cohort. Secondary-school payments occur first; education withdrawals and student-loan offsets arise later.</x:v>
      </x:c>
      <x:c r="M2" s="537" t="str">
        <x:v>One central national annual entrant cohort. Secondary-school payments occur first; education withdrawals and student-loan offsets arise later.</x:v>
      </x:c>
      <x:c r="N2" s="537" t="str">
        <x:v>One central national annual entrant cohort. Secondary-school payments occur first; education withdrawals and student-loan offsets arise later.</x:v>
      </x:c>
      <x:c r="O2" s="537" t="str">
        <x:v>One central national annual entrant cohort. Secondary-school payments occur first; education withdrawals and student-loan offsets arise later.</x:v>
      </x:c>
      <x:c r="P2" s="537" t="str">
        <x:v>One central national annual entrant cohort. Secondary-school payments occur first; education withdrawals and student-loan offsets arise later.</x:v>
      </x:c>
      <x:c r="Q2" s="537" t="str">
        <x:v>One central national annual entrant cohort. Secondary-school payments occur first; education withdrawals and student-loan offsets arise later.</x:v>
      </x:c>
    </x:row>
    <x:row r="4" ht="28" customHeight="1">
      <x:c r="A4" s="527" t="str">
        <x:v>Year</x:v>
      </x:c>
      <x:c r="B4" s="527" t="str">
        <x:v>Phase</x:v>
      </x:c>
      <x:c r="C4" s="527" t="str">
        <x:v>Participants / active accounts</x:v>
      </x:c>
      <x:c r="D4" s="527" t="str">
        <x:v>Immediate-access payments</x:v>
      </x:c>
      <x:c r="E4" s="527" t="str">
        <x:v>Learning Capital deposits</x:v>
      </x:c>
      <x:c r="F4" s="527" t="str">
        <x:v>Opening account assets</x:v>
      </x:c>
      <x:c r="G4" s="527" t="str">
        <x:v>Net investment return</x:v>
      </x:c>
      <x:c r="H4" s="527" t="str">
        <x:v>Investment earnings</x:v>
      </x:c>
      <x:c r="I4" s="527" t="str">
        <x:v>Tertiary withdrawals</x:v>
      </x:c>
      <x:c r="J4" s="527" t="str">
        <x:v>Apprenticeship withdrawals</x:v>
      </x:c>
      <x:c r="K4" s="527" t="str">
        <x:v>Closing account assets</x:v>
      </x:c>
      <x:c r="L4" s="527" t="str">
        <x:v>Gross student-loan lending displaced</x:v>
      </x:c>
      <x:c r="M4" s="527" t="str">
        <x:v>Official fair-value cost avoided</x:v>
      </x:c>
      <x:c r="N4" s="527" t="str">
        <x:v>Account administration</x:v>
      </x:c>
      <x:c r="O4" s="527" t="str">
        <x:v>Incremental tertiary-system cost</x:v>
      </x:c>
      <x:c r="P4" s="527" t="str">
        <x:v>Net Crown fiscal offset</x:v>
      </x:c>
      <x:c r="Q4" s="527" t="str">
        <x:v>Present value of net Crown offset</x:v>
      </x:c>
    </x:row>
    <x:row r="5">
      <x:c r="A5" t="n">
        <x:v>1</x:v>
      </x:c>
      <x:c r="B5" t="str">
        <x:v>Secondary participation</x:v>
      </x:c>
      <x:c r="C5" s="263" t="n">
        <x:f>Assumptions!$E$32/Assumptions!$E$33</x:f>
        <x:v>62348.6</x:v>
      </x:c>
      <x:c r="D5" s="160" t="n">
        <x:f>'Learning Capital &amp; ROI'!$C$11*C5</x:f>
        <x:v>121579770</x:v>
      </x:c>
      <x:c r="E5" s="160" t="n">
        <x:f>'Learning Capital &amp; ROI'!$C$12*C5</x:f>
        <x:v>121579770</x:v>
      </x:c>
      <x:c r="F5" s="160" t="n">
        <x:f>0</x:f>
        <x:v>0</x:v>
      </x:c>
      <x:c r="G5" s="264" t="n">
        <x:f>'Learning Capital &amp; ROI'!$C$18</x:f>
        <x:v>0.04</x:v>
      </x:c>
      <x:c r="H5" s="160" t="n">
        <x:f>(F5+0.5*E5-0.5*(I5+J5))*G5</x:f>
        <x:v>2431595.4</x:v>
      </x:c>
      <x:c r="I5" s="160" t="n">
        <x:v>0</x:v>
      </x:c>
      <x:c r="J5" s="160" t="n">
        <x:v>0</x:v>
      </x:c>
      <x:c r="K5" s="160" t="n">
        <x:f>MAX(0,F5+E5+H5-I5-J5)</x:f>
        <x:v>124011365.4</x:v>
      </x:c>
      <x:c r="L5" s="160" t="n">
        <x:f>(I5+J5)*Assumptions!$E$73*Assumptions!$E$74</x:f>
        <x:v>0</x:v>
      </x:c>
      <x:c r="M5" s="160" t="n">
        <x:f>L5*Assumptions!$E$80</x:f>
        <x:v>0</x:v>
      </x:c>
      <x:c r="N5" s="160" t="n">
        <x:f>C5*Assumptions!$E$63</x:f>
        <x:v>1558715</x:v>
      </x:c>
      <x:c r="O5" s="160" t="n">
        <x:v>0</x:v>
      </x:c>
      <x:c r="P5" s="160" t="n">
        <x:f>M5-N5-O5</x:f>
        <x:v>-1558715</x:v>
      </x:c>
      <x:c r="Q5" s="160" t="n">
        <x:f>P5/((1+Assumptions!$E$109+Assumptions!$E$86+Assumptions!$E$87))</x:f>
        <x:v>-1495600.6524659374</x:v>
      </x:c>
    </x:row>
    <x:row r="6">
      <x:c r="A6" t="n">
        <x:v>2</x:v>
      </x:c>
      <x:c r="B6" t="str">
        <x:v>Secondary participation</x:v>
      </x:c>
      <x:c r="C6" s="263" t="n">
        <x:f>Assumptions!$E$32/Assumptions!$E$33</x:f>
        <x:v>62348.6</x:v>
      </x:c>
      <x:c r="D6" s="160" t="n">
        <x:f>'Learning Capital &amp; ROI'!$C$11*C6</x:f>
        <x:v>121579770</x:v>
      </x:c>
      <x:c r="E6" s="160" t="n">
        <x:f>'Learning Capital &amp; ROI'!$C$12*C6</x:f>
        <x:v>121579770</x:v>
      </x:c>
      <x:c r="F6" s="160" t="n">
        <x:f>K5</x:f>
        <x:v>124011365.4</x:v>
      </x:c>
      <x:c r="G6" s="264" t="n">
        <x:f>'Learning Capital &amp; ROI'!$C$18</x:f>
        <x:v>0.04</x:v>
      </x:c>
      <x:c r="H6" s="160" t="n">
        <x:f>(F6+0.5*E6-0.5*(I6+J6))*G6</x:f>
        <x:v>7392050.016000001</x:v>
      </x:c>
      <x:c r="I6" s="160" t="n">
        <x:v>0</x:v>
      </x:c>
      <x:c r="J6" s="160" t="n">
        <x:v>0</x:v>
      </x:c>
      <x:c r="K6" s="160" t="n">
        <x:f>MAX(0,F6+E6+H6-I6-J6)</x:f>
        <x:v>252983185.416</x:v>
      </x:c>
      <x:c r="L6" s="160" t="n">
        <x:f>(I6+J6)*Assumptions!$E$73*Assumptions!$E$74</x:f>
        <x:v>0</x:v>
      </x:c>
      <x:c r="M6" s="160" t="n">
        <x:f>L6*Assumptions!$E$80</x:f>
        <x:v>0</x:v>
      </x:c>
      <x:c r="N6" s="160" t="n">
        <x:f>C6*Assumptions!$E$63</x:f>
        <x:v>1558715</x:v>
      </x:c>
      <x:c r="O6" s="160" t="n">
        <x:v>0</x:v>
      </x:c>
      <x:c r="P6" s="160" t="n">
        <x:f>M6-N6-O6</x:f>
        <x:v>-1558715</x:v>
      </x:c>
      <x:c r="Q6" s="160" t="n">
        <x:f>P6/((1+Assumptions!$E$109+Assumptions!$E$86+Assumptions!$E$87)*(1+Assumptions!$E$110+Assumptions!$E$86+Assumptions!$E$87))</x:f>
        <x:v>-1424381.573777083</x:v>
      </x:c>
    </x:row>
    <x:row r="7">
      <x:c r="A7" t="n">
        <x:v>3</x:v>
      </x:c>
      <x:c r="B7" t="str">
        <x:v>Secondary participation</x:v>
      </x:c>
      <x:c r="C7" s="263" t="n">
        <x:f>Assumptions!$E$32/Assumptions!$E$33</x:f>
        <x:v>62348.6</x:v>
      </x:c>
      <x:c r="D7" s="160" t="n">
        <x:f>'Learning Capital &amp; ROI'!$C$11*C7</x:f>
        <x:v>121579770</x:v>
      </x:c>
      <x:c r="E7" s="160" t="n">
        <x:f>'Learning Capital &amp; ROI'!$C$12*C7</x:f>
        <x:v>121579770</x:v>
      </x:c>
      <x:c r="F7" s="160" t="n">
        <x:f>K6</x:f>
        <x:v>252983185.416</x:v>
      </x:c>
      <x:c r="G7" s="264" t="n">
        <x:f>'Learning Capital &amp; ROI'!$C$18</x:f>
        <x:v>0.04</x:v>
      </x:c>
      <x:c r="H7" s="160" t="n">
        <x:f>(F7+0.5*E7-0.5*(I7+J7))*G7</x:f>
        <x:v>12550922.81664</x:v>
      </x:c>
      <x:c r="I7" s="160" t="n">
        <x:v>0</x:v>
      </x:c>
      <x:c r="J7" s="160" t="n">
        <x:v>0</x:v>
      </x:c>
      <x:c r="K7" s="160" t="n">
        <x:f>MAX(0,F7+E7+H7-I7-J7)</x:f>
        <x:v>387113878.23264</x:v>
      </x:c>
      <x:c r="L7" s="160" t="n">
        <x:f>(I7+J7)*Assumptions!$E$73*Assumptions!$E$74</x:f>
        <x:v>0</x:v>
      </x:c>
      <x:c r="M7" s="160" t="n">
        <x:f>L7*Assumptions!$E$80</x:f>
        <x:v>0</x:v>
      </x:c>
      <x:c r="N7" s="160" t="n">
        <x:f>C7*Assumptions!$E$63</x:f>
        <x:v>1558715</x:v>
      </x:c>
      <x:c r="O7" s="160" t="n">
        <x:v>0</x:v>
      </x:c>
      <x:c r="P7" s="160" t="n">
        <x:f>M7-N7-O7</x:f>
        <x:v>-1558715</x:v>
      </x:c>
      <x:c r="Q7" s="160" t="n">
        <x:f>P7/((1+Assumptions!$E$109+Assumptions!$E$86+Assumptions!$E$87)*(1+Assumptions!$E$110+Assumptions!$E$86+Assumptions!$E$87)*(1+Assumptions!$E$111+Assumptions!$E$86+Assumptions!$E$87))</x:f>
        <x:v>-1353331.6615459223</x:v>
      </x:c>
    </x:row>
    <x:row r="8">
      <x:c r="A8" t="n">
        <x:v>4</x:v>
      </x:c>
      <x:c r="B8" t="str">
        <x:v>Secondary participation</x:v>
      </x:c>
      <x:c r="C8" s="263" t="n">
        <x:f>Assumptions!$E$32/Assumptions!$E$33</x:f>
        <x:v>62348.6</x:v>
      </x:c>
      <x:c r="D8" s="160" t="n">
        <x:f>'Learning Capital &amp; ROI'!$C$11*C8</x:f>
        <x:v>121579770</x:v>
      </x:c>
      <x:c r="E8" s="160" t="n">
        <x:f>'Learning Capital &amp; ROI'!$C$12*C8</x:f>
        <x:v>121579770</x:v>
      </x:c>
      <x:c r="F8" s="160" t="n">
        <x:f>K7</x:f>
        <x:v>387113878.23264</x:v>
      </x:c>
      <x:c r="G8" s="264" t="n">
        <x:f>MAX('Learning Capital &amp; ROI'!$C$18-Assumptions!$E$61,-0.99)</x:f>
        <x:v>0.035</x:v>
      </x:c>
      <x:c r="H8" s="160" t="n">
        <x:f>(F8+0.5*E8-0.5*(I8+J8))*G8</x:f>
        <x:v>15676631.713142402</x:v>
      </x:c>
      <x:c r="I8" s="160" t="n">
        <x:v>0</x:v>
      </x:c>
      <x:c r="J8" s="160" t="n">
        <x:v>0</x:v>
      </x:c>
      <x:c r="K8" s="160" t="n">
        <x:f>MAX(0,F8+E8+H8-I8-J8)</x:f>
        <x:v>524370279.9457824</x:v>
      </x:c>
      <x:c r="L8" s="160" t="n">
        <x:f>(I8+J8)*Assumptions!$E$73*Assumptions!$E$74</x:f>
        <x:v>0</x:v>
      </x:c>
      <x:c r="M8" s="160" t="n">
        <x:f>L8*Assumptions!$E$80</x:f>
        <x:v>0</x:v>
      </x:c>
      <x:c r="N8" s="160" t="n">
        <x:f>C8*Assumptions!$E$63</x:f>
        <x:v>1558715</x:v>
      </x:c>
      <x:c r="O8" s="160" t="n">
        <x:v>0</x:v>
      </x:c>
      <x:c r="P8" s="160" t="n">
        <x:f>M8-N8-O8</x:f>
        <x:v>-1558715</x:v>
      </x:c>
      <x:c r="Q8" s="160" t="n">
        <x:f>P8/((1+Assumptions!$E$109+Assumptions!$E$86+Assumptions!$E$87)*(1+Assumptions!$E$110+Assumptions!$E$86+Assumptions!$E$87)*(1+Assumptions!$E$111+Assumptions!$E$86+Assumptions!$E$87)*(1+Assumptions!$E$112+Assumptions!$E$86+Assumptions!$E$87))</x:f>
        <x:v>-1282535.691381655</x:v>
      </x:c>
    </x:row>
    <x:row r="9">
      <x:c r="A9" t="n">
        <x:v>5</x:v>
      </x:c>
      <x:c r="B9" t="str">
        <x:v>Secondary participation</x:v>
      </x:c>
      <x:c r="C9" s="263" t="n">
        <x:f>Assumptions!$E$32/Assumptions!$E$33</x:f>
        <x:v>62348.6</x:v>
      </x:c>
      <x:c r="D9" s="160" t="n">
        <x:f>'Learning Capital &amp; ROI'!$C$11*C9</x:f>
        <x:v>121579770</x:v>
      </x:c>
      <x:c r="E9" s="160" t="n">
        <x:f>'Learning Capital &amp; ROI'!$C$12*C9</x:f>
        <x:v>121579770</x:v>
      </x:c>
      <x:c r="F9" s="160" t="n">
        <x:f>K8</x:f>
        <x:v>524370279.9457824</x:v>
      </x:c>
      <x:c r="G9" s="264" t="n">
        <x:f>MAX('Learning Capital &amp; ROI'!$C$18-Assumptions!$E$62,-0.99)</x:f>
        <x:v>0.03</x:v>
      </x:c>
      <x:c r="H9" s="160" t="n">
        <x:f>(F9+0.5*E9-0.5*(I9+J9))*G9</x:f>
        <x:v>17554804.94837347</x:v>
      </x:c>
      <x:c r="I9" s="160" t="n">
        <x:v>0</x:v>
      </x:c>
      <x:c r="J9" s="160" t="n">
        <x:v>0</x:v>
      </x:c>
      <x:c r="K9" s="160" t="n">
        <x:f>MAX(0,F9+E9+H9-I9-J9)</x:f>
        <x:v>663504854.8941559</x:v>
      </x:c>
      <x:c r="L9" s="160" t="n">
        <x:f>(I9+J9)*Assumptions!$E$73*Assumptions!$E$74</x:f>
        <x:v>0</x:v>
      </x:c>
      <x:c r="M9" s="160" t="n">
        <x:f>L9*Assumptions!$E$80</x:f>
        <x:v>0</x:v>
      </x:c>
      <x:c r="N9" s="160" t="n">
        <x:f>C9*Assumptions!$E$63</x:f>
        <x:v>1558715</x:v>
      </x:c>
      <x:c r="O9" s="160" t="n">
        <x:v>0</x:v>
      </x:c>
      <x:c r="P9" s="160" t="n">
        <x:f>M9-N9-O9</x:f>
        <x:v>-1558715</x:v>
      </x:c>
      <x:c r="Q9" s="160" t="n">
        <x:f>P9/((1+Assumptions!$E$109+Assumptions!$E$86+Assumptions!$E$87)*(1+Assumptions!$E$110+Assumptions!$E$86+Assumptions!$E$87)*(1+Assumptions!$E$111+Assumptions!$E$86+Assumptions!$E$87)*(1+Assumptions!$E$112+Assumptions!$E$86+Assumptions!$E$87)*(1+Assumptions!$E$113+Assumptions!$E$86+Assumptions!$E$87))</x:f>
        <x:v>-1212341.139409826</x:v>
      </x:c>
    </x:row>
    <x:row r="10">
      <x:c r="A10" t="n">
        <x:v>6</x:v>
      </x:c>
      <x:c r="B10" t="str">
        <x:v>Education / apprenticeship withdrawals</x:v>
      </x:c>
      <x:c r="C10" s="263" t="n">
        <x:f>Assumptions!$E$32/Assumptions!$E$33</x:f>
        <x:v>62348.6</x:v>
      </x:c>
      <x:c r="D10" s="160" t="n">
        <x:f>0</x:f>
        <x:v>0</x:v>
      </x:c>
      <x:c r="E10" s="160" t="n">
        <x:f>0</x:f>
        <x:v>0</x:v>
      </x:c>
      <x:c r="F10" s="160" t="n">
        <x:f>K9</x:f>
        <x:v>663504854.8941559</x:v>
      </x:c>
      <x:c r="G10" s="264" t="n">
        <x:f>Assumptions!$E$95</x:f>
        <x:v>0.0231</x:v>
      </x:c>
      <x:c r="H10" s="160" t="n">
        <x:f>(F10+0.5*E10-0.5*(I10+J10))*G10</x:f>
        <x:v>13962862.516878104</x:v>
      </x:c>
      <x:c r="I10" s="160" t="n">
        <x:f>$K$9*Assumptions!$E$70*Assumptions!$E$72*0.35</x:f>
        <x:v>102179747.65370001</x:v>
      </x:c>
      <x:c r="J10" s="160" t="n">
        <x:f>$K$9*Assumptions!$E$71*Assumptions!$E$72*0.25</x:f>
        <x:v>15924116.517459743</x:v>
      </x:c>
      <x:c r="K10" s="160" t="n">
        <x:f>MAX(0,F10+E10+H10-I10-J10)</x:f>
        <x:v>559363853.2398742</x:v>
      </x:c>
      <x:c r="L10" s="160" t="n">
        <x:f>(I10+J10)*Assumptions!$E$73*Assumptions!$E$74</x:f>
        <x:v>56689854.80215668</x:v>
      </x:c>
      <x:c r="M10" s="160" t="n">
        <x:f>L10*Assumptions!$E$80</x:f>
        <x:v>19410606.284258448</x:v>
      </x:c>
      <x:c r="N10" s="160" t="n">
        <x:f>C10*Assumptions!$E$63</x:f>
        <x:v>1558715</x:v>
      </x:c>
      <x:c r="O10" s="160" t="n">
        <x:f>Assumptions!$E$32/Assumptions!$E$33*(Assumptions!$E$70+Assumptions!$E$71)*Assumptions!$E$76*Assumptions!$E$89</x:f>
        <x:v>33418849.6</x:v>
      </x:c>
      <x:c r="P10" s="160" t="n">
        <x:f>M10-N10-O10</x:f>
        <x:v>-15566958.315741554</x:v>
      </x:c>
      <x:c r="Q10" s="160" t="n">
        <x:f>P10/((1+Assumptions!$E$109+Assumptions!$E$86+Assumptions!$E$87)*(1+Assumptions!$E$110+Assumptions!$E$86+Assumptions!$E$87)*(1+Assumptions!$E$111+Assumptions!$E$86+Assumptions!$E$87)*(1+Assumptions!$E$112+Assumptions!$E$86+Assumptions!$E$87)*(1+Assumptions!$E$113+Assumptions!$E$86+Assumptions!$E$87)*(1+Assumptions!$E$114+Assumptions!$E$86+Assumptions!$E$87))</x:f>
        <x:v>-11414826.677536031</x:v>
      </x:c>
    </x:row>
    <x:row r="11">
      <x:c r="A11" t="n">
        <x:v>7</x:v>
      </x:c>
      <x:c r="B11" t="str">
        <x:v>Education / apprenticeship withdrawals</x:v>
      </x:c>
      <x:c r="C11" s="263" t="n">
        <x:f>Assumptions!$E$32/Assumptions!$E$33</x:f>
        <x:v>62348.6</x:v>
      </x:c>
      <x:c r="D11" s="160" t="n">
        <x:f>0</x:f>
        <x:v>0</x:v>
      </x:c>
      <x:c r="E11" s="160" t="n">
        <x:f>0</x:f>
        <x:v>0</x:v>
      </x:c>
      <x:c r="F11" s="160" t="n">
        <x:f>K10</x:f>
        <x:v>559363853.2398742</x:v>
      </x:c>
      <x:c r="G11" s="264" t="n">
        <x:f>Assumptions!$E$95</x:f>
        <x:v>0.0231</x:v>
      </x:c>
      <x:c r="H11" s="160" t="n">
        <x:f>(F11+0.5*E11-0.5*(I11+J11))*G11</x:f>
        <x:v>11931183.255076742</x:v>
      </x:c>
      <x:c r="I11" s="160" t="n">
        <x:f>$K$9*Assumptions!$E$70*Assumptions!$E$72*0.25</x:f>
        <x:v>72985534.03835715</x:v>
      </x:c>
      <x:c r="J11" s="160" t="n">
        <x:f>$K$9*Assumptions!$E$71*Assumptions!$E$72*0.2</x:f>
        <x:v>12739293.213967795</x:v>
      </x:c>
      <x:c r="K11" s="160" t="n">
        <x:f>MAX(0,F11+E11+H11-I11-J11)</x:f>
        <x:v>485570209.2426261</x:v>
      </x:c>
      <x:c r="L11" s="160" t="n">
        <x:f>(I11+J11)*Assumptions!$E$73*Assumptions!$E$74</x:f>
        <x:v>41147917.08111598</x:v>
      </x:c>
      <x:c r="M11" s="160" t="n">
        <x:f>L11*Assumptions!$E$80</x:f>
        <x:v>14089046.808574112</x:v>
      </x:c>
      <x:c r="N11" s="160" t="n">
        <x:f>C11*Assumptions!$E$63</x:f>
        <x:v>1558715</x:v>
      </x:c>
      <x:c r="O11" s="160" t="n">
        <x:v>0</x:v>
      </x:c>
      <x:c r="P11" s="160" t="n">
        <x:f>M11-N11-O11</x:f>
        <x:v>12530331.808574112</x:v>
      </x:c>
      <x:c r="Q11" s="160" t="n">
        <x:f>P11/((1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x:f>
        <x:v>8650928.482022906</x:v>
      </x:c>
    </x:row>
    <x:row r="12">
      <x:c r="A12" t="n">
        <x:v>8</x:v>
      </x:c>
      <x:c r="B12" t="str">
        <x:v>Education / apprenticeship withdrawals</x:v>
      </x:c>
      <x:c r="C12" s="263" t="n">
        <x:f>Assumptions!$E$32/Assumptions!$E$33</x:f>
        <x:v>62348.6</x:v>
      </x:c>
      <x:c r="D12" s="160" t="n">
        <x:f>0</x:f>
        <x:v>0</x:v>
      </x:c>
      <x:c r="E12" s="160" t="n">
        <x:f>0</x:f>
        <x:v>0</x:v>
      </x:c>
      <x:c r="F12" s="160" t="n">
        <x:f>K11</x:f>
        <x:v>485570209.2426261</x:v>
      </x:c>
      <x:c r="G12" s="264" t="n">
        <x:f>Assumptions!$E$95</x:f>
        <x:v>0.0231</x:v>
      </x:c>
      <x:c r="H12" s="160" t="n">
        <x:f>(F12+0.5*E12-0.5*(I12+J12))*G12</x:f>
        <x:v>10395146.662368914</x:v>
      </x:c>
      <x:c r="I12" s="160" t="n">
        <x:f>$K$9*Assumptions!$E$70*Assumptions!$E$72*0.2</x:f>
        <x:v>58388427.230685726</x:v>
      </x:c>
      <x:c r="J12" s="160" t="n">
        <x:f>$K$9*Assumptions!$E$71*Assumptions!$E$72*0.2</x:f>
        <x:v>12739293.213967795</x:v>
      </x:c>
      <x:c r="K12" s="160" t="n">
        <x:f>MAX(0,F12+E12+H12-I12-J12)</x:f>
        <x:v>424837635.46034145</x:v>
      </x:c>
      <x:c r="L12" s="160" t="n">
        <x:f>(I12+J12)*Assumptions!$E$73*Assumptions!$E$74</x:f>
        <x:v>34141305.81343369</x:v>
      </x:c>
      <x:c r="M12" s="160" t="n">
        <x:f>L12*Assumptions!$E$80</x:f>
        <x:v>11689983.110519696</x:v>
      </x:c>
      <x:c r="N12" s="160" t="n">
        <x:f>C12*Assumptions!$E$63</x:f>
        <x:v>1558715</x:v>
      </x:c>
      <x:c r="O12" s="160" t="n">
        <x:v>0</x:v>
      </x:c>
      <x:c r="P12" s="160" t="n">
        <x:f>M12-N12-O12</x:f>
        <x:v>10131268.110519696</x:v>
      </x:c>
      <x:c r="Q12" s="160" t="n">
        <x:f>P12/((1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x:f>
        <x:v>6579453.78329761</x:v>
      </x:c>
    </x:row>
    <x:row r="13">
      <x:c r="A13" t="n">
        <x:v>9</x:v>
      </x:c>
      <x:c r="B13" t="str">
        <x:v>Education / apprenticeship withdrawals</x:v>
      </x:c>
      <x:c r="C13" s="263" t="n">
        <x:f>Assumptions!$E$32/Assumptions!$E$33</x:f>
        <x:v>62348.6</x:v>
      </x:c>
      <x:c r="D13" s="160" t="n">
        <x:f>0</x:f>
        <x:v>0</x:v>
      </x:c>
      <x:c r="E13" s="160" t="n">
        <x:f>0</x:f>
        <x:v>0</x:v>
      </x:c>
      <x:c r="F13" s="160" t="n">
        <x:f>K12</x:f>
        <x:v>424837635.46034145</x:v>
      </x:c>
      <x:c r="G13" s="264" t="n">
        <x:f>Assumptions!$E$95</x:f>
        <x:v>0.0231</x:v>
      </x:c>
      <x:c r="H13" s="160" t="n">
        <x:f>(F13+0.5*E13-0.5*(I13+J13))*G13</x:f>
        <x:v>8992224.20799814</x:v>
      </x:c>
      <x:c r="I13" s="160" t="n">
        <x:f>$K$9*Assumptions!$E$70*Assumptions!$E$72*0.2</x:f>
        <x:v>58388427.230685726</x:v>
      </x:c>
      <x:c r="J13" s="160" t="n">
        <x:f>$K$9*Assumptions!$E$71*Assumptions!$E$72*0.2</x:f>
        <x:v>12739293.213967795</x:v>
      </x:c>
      <x:c r="K13" s="160" t="n">
        <x:f>MAX(0,F13+E13+H13-I13-J13)</x:f>
        <x:v>362702139.2236861</x:v>
      </x:c>
      <x:c r="L13" s="160" t="n">
        <x:f>(I13+J13)*Assumptions!$E$73*Assumptions!$E$74</x:f>
        <x:v>34141305.81343369</x:v>
      </x:c>
      <x:c r="M13" s="160" t="n">
        <x:f>L13*Assumptions!$E$80</x:f>
        <x:v>11689983.110519696</x:v>
      </x:c>
      <x:c r="N13" s="160" t="n">
        <x:f>C13*Assumptions!$E$63</x:f>
        <x:v>1558715</x:v>
      </x:c>
      <x:c r="O13" s="160" t="n">
        <x:v>0</x:v>
      </x:c>
      <x:c r="P13" s="160" t="n">
        <x:f>M13-N13-O13</x:f>
        <x:v>10131268.110519696</x:v>
      </x:c>
      <x:c r="Q13" s="160" t="n">
        <x:f>P13/((1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x:f>
        <x:v>6181954.132573156</x:v>
      </x:c>
    </x:row>
    <x:row r="14">
      <x:c r="A14" t="n">
        <x:v>10</x:v>
      </x:c>
      <x:c r="B14" t="str">
        <x:v>Education / apprenticeship withdrawals</x:v>
      </x:c>
      <x:c r="C14" s="263" t="n">
        <x:f>Assumptions!$E$32/Assumptions!$E$33</x:f>
        <x:v>62348.6</x:v>
      </x:c>
      <x:c r="D14" s="160" t="n">
        <x:f>0</x:f>
        <x:v>0</x:v>
      </x:c>
      <x:c r="E14" s="160" t="n">
        <x:f>0</x:f>
        <x:v>0</x:v>
      </x:c>
      <x:c r="F14" s="160" t="n">
        <x:f>K13</x:f>
        <x:v>362702139.2236861</x:v>
      </x:c>
      <x:c r="G14" s="264" t="n">
        <x:f>Assumptions!$E$95</x:f>
        <x:v>0.0231</x:v>
      </x:c>
      <x:c r="H14" s="160" t="n">
        <x:f>(F14+0.5*E14-0.5*(I14+J14))*G14</x:f>
        <x:v>8268065.288601153</x:v>
      </x:c>
      <x:c r="I14" s="160" t="n">
        <x:v>0</x:v>
      </x:c>
      <x:c r="J14" s="160" t="n">
        <x:f>$K$9*Assumptions!$E$71*Assumptions!$E$72*0.15</x:f>
        <x:v>9554469.910475845</x:v>
      </x:c>
      <x:c r="K14" s="160" t="n">
        <x:f>MAX(0,F14+E14+H14-I14-J14)</x:f>
        <x:v>361415734.6018114</x:v>
      </x:c>
      <x:c r="L14" s="160" t="n">
        <x:f>(I14+J14)*Assumptions!$E$73*Assumptions!$E$74</x:f>
        <x:v>4586145.557028405</x:v>
      </x:c>
      <x:c r="M14" s="160" t="n">
        <x:f>L14*Assumptions!$E$80</x:f>
        <x:v>1570296.2387265258</x:v>
      </x:c>
      <x:c r="N14" s="160" t="n">
        <x:f>C14*Assumptions!$E$63</x:f>
        <x:v>1558715</x:v>
      </x:c>
      <x:c r="O14" s="160" t="n">
        <x:v>0</x:v>
      </x:c>
      <x:c r="P14" s="160" t="n">
        <x:f>M14-N14-O14</x:f>
        <x:v>11581.2387265258</x:v>
      </x:c>
      <x:c r="Q14" s="160" t="n">
        <x:f>P14/((1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x:f>
        <x:v>6631.667937899892</x:v>
      </x:c>
    </x:row>
    <x:row r="15">
      <x:c r="A15" t="n">
        <x:v>11</x:v>
      </x:c>
      <x:c r="B15" t="str">
        <x:v>Protected residual balance</x:v>
      </x:c>
      <x:c r="C15" s="263" t="n">
        <x:f>Assumptions!$E$32/Assumptions!$E$33*(1-(Assumptions!$E$70+Assumptions!$E$71)*Assumptions!$E$72)</x:f>
        <x:v>28929.750399999997</x:v>
      </x:c>
      <x:c r="D15" s="160" t="n">
        <x:f>0</x:f>
        <x:v>0</x:v>
      </x:c>
      <x:c r="E15" s="160" t="n">
        <x:f>0</x:f>
        <x:v>0</x:v>
      </x:c>
      <x:c r="F15" s="160" t="n">
        <x:f>K14</x:f>
        <x:v>361415734.6018114</x:v>
      </x:c>
      <x:c r="G15" s="264" t="n">
        <x:f>Assumptions!$E$95</x:f>
        <x:v>0.0231</x:v>
      </x:c>
      <x:c r="H15" s="160" t="n">
        <x:f>(F15+0.5*E15-0.5*(I15+J15))*G15</x:f>
        <x:v>8348703.469301843</x:v>
      </x:c>
      <x:c r="I15" s="160" t="n">
        <x:v>0</x:v>
      </x:c>
      <x:c r="J15" s="160" t="n">
        <x:v>0</x:v>
      </x:c>
      <x:c r="K15" s="160" t="n">
        <x:f>MAX(0,F15+E15+H15-I15-J15)</x:f>
        <x:v>369764438.0711132</x:v>
      </x:c>
      <x:c r="L15" s="160" t="n">
        <x:f>(I15+J15)*Assumptions!$E$73*Assumptions!$E$74</x:f>
        <x:v>0</x:v>
      </x:c>
      <x:c r="M15" s="160" t="n">
        <x:f>L15*Assumptions!$E$80</x:f>
        <x:v>0</x:v>
      </x:c>
      <x:c r="N15" s="160" t="n">
        <x:f>C15*Assumptions!$E$63</x:f>
        <x:v>723243.7599999999</x:v>
      </x:c>
      <x:c r="O15" s="160" t="n">
        <x:v>0</x:v>
      </x:c>
      <x:c r="P15" s="160" t="n">
        <x:f>M15-N15-O15</x:f>
        <x:v>-723243.7599999999</x:v>
      </x:c>
      <x:c r="Q15" s="160" t="n">
        <x:f>P15/((1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x:f>
        <x:v>-388139.67154407286</x:v>
      </x:c>
    </x:row>
    <x:row r="16">
      <x:c r="A16" t="n">
        <x:v>12</x:v>
      </x:c>
      <x:c r="B16" t="str">
        <x:v>Protected residual balance</x:v>
      </x:c>
      <x:c r="C16" s="263" t="n">
        <x:f>Assumptions!$E$32/Assumptions!$E$33*(1-(Assumptions!$E$70+Assumptions!$E$71)*Assumptions!$E$72)</x:f>
        <x:v>28929.750399999997</x:v>
      </x:c>
      <x:c r="D16" s="160" t="n">
        <x:f>0</x:f>
        <x:v>0</x:v>
      </x:c>
      <x:c r="E16" s="160" t="n">
        <x:f>0</x:f>
        <x:v>0</x:v>
      </x:c>
      <x:c r="F16" s="160" t="n">
        <x:f>K15</x:f>
        <x:v>369764438.0711132</x:v>
      </x:c>
      <x:c r="G16" s="264" t="n">
        <x:f>Assumptions!$E$95</x:f>
        <x:v>0.0231</x:v>
      </x:c>
      <x:c r="H16" s="160" t="n">
        <x:f>(F16+0.5*E16-0.5*(I16+J16))*G16</x:f>
        <x:v>8541558.519442715</x:v>
      </x:c>
      <x:c r="I16" s="160" t="n">
        <x:v>0</x:v>
      </x:c>
      <x:c r="J16" s="160" t="n">
        <x:v>0</x:v>
      </x:c>
      <x:c r="K16" s="160" t="n">
        <x:f>MAX(0,F16+E16+H16-I16-J16)</x:f>
        <x:v>378305996.59055597</x:v>
      </x:c>
      <x:c r="L16" s="160" t="n">
        <x:f>(I16+J16)*Assumptions!$E$73*Assumptions!$E$74</x:f>
        <x:v>0</x:v>
      </x:c>
      <x:c r="M16" s="160" t="n">
        <x:f>L16*Assumptions!$E$80</x:f>
        <x:v>0</x:v>
      </x:c>
      <x:c r="N16" s="160" t="n">
        <x:f>C16*Assumptions!$E$63</x:f>
        <x:v>723243.7599999999</x:v>
      </x:c>
      <x:c r="O16" s="160" t="n">
        <x:v>0</x:v>
      </x:c>
      <x:c r="P16" s="160" t="n">
        <x:f>M16-N16-O16</x:f>
        <x:v>-723243.7599999999</x:v>
      </x:c>
      <x:c r="Q16" s="160" t="n">
        <x:f>P16/((1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x:f>
        <x:v>-363256.5948002554</x:v>
      </x:c>
    </x:row>
    <x:row r="17">
      <x:c r="A17" t="n">
        <x:v>13</x:v>
      </x:c>
      <x:c r="B17" t="str">
        <x:v>Protected residual balance</x:v>
      </x:c>
      <x:c r="C17" s="263" t="n">
        <x:f>Assumptions!$E$32/Assumptions!$E$33*(1-(Assumptions!$E$70+Assumptions!$E$71)*Assumptions!$E$72)</x:f>
        <x:v>28929.750399999997</x:v>
      </x:c>
      <x:c r="D17" s="160" t="n">
        <x:f>0</x:f>
        <x:v>0</x:v>
      </x:c>
      <x:c r="E17" s="160" t="n">
        <x:f>0</x:f>
        <x:v>0</x:v>
      </x:c>
      <x:c r="F17" s="160" t="n">
        <x:f>K16</x:f>
        <x:v>378305996.59055597</x:v>
      </x:c>
      <x:c r="G17" s="264" t="n">
        <x:f>Assumptions!$E$95</x:f>
        <x:v>0.0231</x:v>
      </x:c>
      <x:c r="H17" s="160" t="n">
        <x:f>(F17+0.5*E17-0.5*(I17+J17))*G17</x:f>
        <x:v>8738868.521241842</x:v>
      </x:c>
      <x:c r="I17" s="160" t="n">
        <x:v>0</x:v>
      </x:c>
      <x:c r="J17" s="160" t="n">
        <x:v>0</x:v>
      </x:c>
      <x:c r="K17" s="160" t="n">
        <x:f>MAX(0,F17+E17+H17-I17-J17)</x:f>
        <x:v>387044865.1117978</x:v>
      </x:c>
      <x:c r="L17" s="160" t="n">
        <x:f>(I17+J17)*Assumptions!$E$73*Assumptions!$E$74</x:f>
        <x:v>0</x:v>
      </x:c>
      <x:c r="M17" s="160" t="n">
        <x:f>L17*Assumptions!$E$80</x:f>
        <x:v>0</x:v>
      </x:c>
      <x:c r="N17" s="160" t="n">
        <x:f>C17*Assumptions!$E$63</x:f>
        <x:v>723243.7599999999</x:v>
      </x:c>
      <x:c r="O17" s="160" t="n">
        <x:v>0</x:v>
      </x:c>
      <x:c r="P17" s="160" t="n">
        <x:f>M17-N17-O17</x:f>
        <x:v>-723243.7599999999</x:v>
      </x:c>
      <x:c r="Q17" s="160" t="n">
        <x:f>P17/((1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x:f>
        <x:v>-339587.356081383</x:v>
      </x:c>
    </x:row>
    <x:row r="18">
      <x:c r="A18" t="n">
        <x:v>14</x:v>
      </x:c>
      <x:c r="B18" t="str">
        <x:v>Protected residual balance</x:v>
      </x:c>
      <x:c r="C18" s="263" t="n">
        <x:f>Assumptions!$E$32/Assumptions!$E$33*(1-(Assumptions!$E$70+Assumptions!$E$71)*Assumptions!$E$72)</x:f>
        <x:v>28929.750399999997</x:v>
      </x:c>
      <x:c r="D18" s="160" t="n">
        <x:f>0</x:f>
        <x:v>0</x:v>
      </x:c>
      <x:c r="E18" s="160" t="n">
        <x:f>0</x:f>
        <x:v>0</x:v>
      </x:c>
      <x:c r="F18" s="160" t="n">
        <x:f>K17</x:f>
        <x:v>387044865.1117978</x:v>
      </x:c>
      <x:c r="G18" s="264" t="n">
        <x:f>Assumptions!$E$95</x:f>
        <x:v>0.0231</x:v>
      </x:c>
      <x:c r="H18" s="160" t="n">
        <x:f>(F18+0.5*E18-0.5*(I18+J18))*G18</x:f>
        <x:v>8940736.38408253</x:v>
      </x:c>
      <x:c r="I18" s="160" t="n">
        <x:v>0</x:v>
      </x:c>
      <x:c r="J18" s="160" t="n">
        <x:v>0</x:v>
      </x:c>
      <x:c r="K18" s="160" t="n">
        <x:f>MAX(0,F18+E18+H18-I18-J18)</x:f>
        <x:v>395985601.49588037</x:v>
      </x:c>
      <x:c r="L18" s="160" t="n">
        <x:f>(I18+J18)*Assumptions!$E$73*Assumptions!$E$74</x:f>
        <x:v>0</x:v>
      </x:c>
      <x:c r="M18" s="160" t="n">
        <x:f>L18*Assumptions!$E$80</x:f>
        <x:v>0</x:v>
      </x:c>
      <x:c r="N18" s="160" t="n">
        <x:f>C18*Assumptions!$E$63</x:f>
        <x:v>723243.7599999999</x:v>
      </x:c>
      <x:c r="O18" s="160" t="n">
        <x:v>0</x:v>
      </x:c>
      <x:c r="P18" s="160" t="n">
        <x:f>M18-N18-O18</x:f>
        <x:v>-723243.7599999999</x:v>
      </x:c>
      <x:c r="Q18" s="160" t="n">
        <x:f>P18/((1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(1+Assumptions!$E$122+Assumptions!$E$86+Assumptions!$E$87))</x:f>
        <x:v>-317223.1257182466</x:v>
      </x:c>
    </x:row>
    <x:row r="19">
      <x:c r="A19" t="n">
        <x:v>15</x:v>
      </x:c>
      <x:c r="B19" t="str">
        <x:v>Protected residual balance</x:v>
      </x:c>
      <x:c r="C19" s="263" t="n">
        <x:f>Assumptions!$E$32/Assumptions!$E$33*(1-(Assumptions!$E$70+Assumptions!$E$71)*Assumptions!$E$72)</x:f>
        <x:v>28929.750399999997</x:v>
      </x:c>
      <x:c r="D19" s="160" t="n">
        <x:f>0</x:f>
        <x:v>0</x:v>
      </x:c>
      <x:c r="E19" s="160" t="n">
        <x:f>0</x:f>
        <x:v>0</x:v>
      </x:c>
      <x:c r="F19" s="160" t="n">
        <x:f>K18</x:f>
        <x:v>395985601.49588037</x:v>
      </x:c>
      <x:c r="G19" s="264" t="n">
        <x:f>Assumptions!$E$95</x:f>
        <x:v>0.0231</x:v>
      </x:c>
      <x:c r="H19" s="160" t="n">
        <x:f>(F19+0.5*E19-0.5*(I19+J19))*G19</x:f>
        <x:v>9147267.394554837</x:v>
      </x:c>
      <x:c r="I19" s="160" t="n">
        <x:v>0</x:v>
      </x:c>
      <x:c r="J19" s="160" t="n">
        <x:v>0</x:v>
      </x:c>
      <x:c r="K19" s="160" t="n">
        <x:f>MAX(0,F19+E19+H19-I19-J19)</x:f>
        <x:v>405132868.8904352</x:v>
      </x:c>
      <x:c r="L19" s="160" t="n">
        <x:f>(I19+J19)*Assumptions!$E$73*Assumptions!$E$74</x:f>
        <x:v>0</x:v>
      </x:c>
      <x:c r="M19" s="160" t="n">
        <x:f>L19*Assumptions!$E$80</x:f>
        <x:v>0</x:v>
      </x:c>
      <x:c r="N19" s="160" t="n">
        <x:f>C19*Assumptions!$E$63</x:f>
        <x:v>723243.7599999999</x:v>
      </x:c>
      <x:c r="O19" s="160" t="n">
        <x:v>0</x:v>
      </x:c>
      <x:c r="P19" s="160" t="n">
        <x:f>M19-N19-O19</x:f>
        <x:v>-723243.7599999999</x:v>
      </x:c>
      <x:c r="Q19" s="160" t="n">
        <x:f>P19/((1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(1+Assumptions!$E$122+Assumptions!$E$86+Assumptions!$E$87)*(1+Assumptions!$E$123+Assumptions!$E$86+Assumptions!$E$87))</x:f>
        <x:v>-296221.0530565381</x:v>
      </x:c>
    </x:row>
    <x:row r="21" ht="22" customHeight="1">
      <x:c r="A21" s="506" t="str">
        <x:v>Cohort totals and timing interpretation</x:v>
      </x:c>
      <x:c r="B21" s="506" t="str">
        <x:v>Cohort totals and timing interpretation</x:v>
      </x:c>
      <x:c r="C21" s="506" t="str">
        <x:v>Cohort totals and timing interpretation</x:v>
      </x:c>
      <x:c r="D21" s="506" t="str">
        <x:v>Cohort totals and timing interpretation</x:v>
      </x:c>
      <x:c r="E21" s="506" t="str">
        <x:v>Cohort totals and timing interpretation</x:v>
      </x:c>
      <x:c r="F21" s="506" t="str">
        <x:v>Cohort totals and timing interpretation</x:v>
      </x:c>
      <x:c r="G21" s="506" t="str">
        <x:v>Cohort totals and timing interpretation</x:v>
      </x:c>
      <x:c r="H21" s="506" t="str">
        <x:v>Cohort totals and timing interpretation</x:v>
      </x:c>
      <x:c r="I21" s="506" t="str">
        <x:v>Cohort totals and timing interpretation</x:v>
      </x:c>
      <x:c r="J21" s="506" t="str">
        <x:v>Cohort totals and timing interpretation</x:v>
      </x:c>
      <x:c r="K21" s="506" t="str">
        <x:v>Cohort totals and timing interpretation</x:v>
      </x:c>
      <x:c r="L21" s="506" t="str">
        <x:v>Cohort totals and timing interpretation</x:v>
      </x:c>
      <x:c r="M21" s="506" t="str">
        <x:v>Cohort totals and timing interpretation</x:v>
      </x:c>
      <x:c r="N21" s="506" t="str">
        <x:v>Cohort totals and timing interpretation</x:v>
      </x:c>
      <x:c r="O21" s="506" t="str">
        <x:v>Cohort totals and timing interpretation</x:v>
      </x:c>
      <x:c r="P21" s="506" t="str">
        <x:v>Cohort totals and timing interpretation</x:v>
      </x:c>
      <x:c r="Q21" s="506" t="str">
        <x:v>Cohort totals and timing interpretation</x:v>
      </x:c>
    </x:row>
    <x:row r="22" ht="28" customHeight="1">
      <x:c r="A22" s="803" t="str">
        <x:v>Metric</x:v>
      </x:c>
      <x:c r="B22" s="803"/>
      <x:c r="C22" s="803"/>
      <x:c r="D22" s="803" t="str">
        <x:v>Nominal total</x:v>
      </x:c>
      <x:c r="E22" s="803"/>
      <x:c r="F22" s="803" t="str">
        <x:v>Present value / real view</x:v>
      </x:c>
      <x:c r="G22" s="803"/>
      <x:c r="H22" s="803" t="str">
        <x:v>Unit</x:v>
      </x:c>
      <x:c r="I22" s="803"/>
      <x:c r="J22" s="803" t="str">
        <x:v>Cash-cost treatment</x:v>
      </x:c>
      <x:c r="K22" s="803"/>
      <x:c r="L22" s="803" t="str">
        <x:v>Source</x:v>
      </x:c>
      <x:c r="M22" s="803"/>
      <x:c r="N22" s="803" t="str">
        <x:v>Interpretation</x:v>
      </x:c>
      <x:c r="O22" s="803"/>
      <x:c r="P22" s="803"/>
      <x:c r="Q22" s="803"/>
    </x:row>
    <x:row r="23" ht="30" customHeight="1">
      <x:c r="A23" s="484" t="str">
        <x:v>Immediate-access payments</x:v>
      </x:c>
      <x:c r="B23" s="856"/>
      <x:c r="C23" s="856"/>
      <x:c r="D23" s="858" t="n">
        <x:f>SUM(D5:D19)</x:f>
        <x:v>607898850</x:v>
      </x:c>
      <x:c r="E23" s="858"/>
      <x:c r="F23" s="858"/>
      <x:c r="G23" s="858"/>
      <x:c r="H23" s="484" t="str">
        <x:v>NZD</x:v>
      </x:c>
      <x:c r="I23" s="484"/>
      <x:c r="J23" s="484" t="str">
        <x:v>Yes — Stage 2</x:v>
      </x:c>
      <x:c r="K23" s="484"/>
      <x:c r="L23" s="484" t="str">
        <x:v>Stage 2</x:v>
      </x:c>
      <x:c r="M23" s="484"/>
      <x:c r="N23" s="484" t="str">
        <x:v>Cash appropriation during secondary school.</x:v>
      </x:c>
      <x:c r="O23" s="484"/>
      <x:c r="P23" s="484"/>
      <x:c r="Q23" s="484"/>
    </x:row>
    <x:row r="24" ht="30" customHeight="1">
      <x:c r="A24" s="484" t="str">
        <x:v>Learning Capital deposits</x:v>
      </x:c>
      <x:c r="B24" s="856"/>
      <x:c r="C24" s="856"/>
      <x:c r="D24" s="858" t="n">
        <x:f>SUM(E5:E19)</x:f>
        <x:v>607898850</x:v>
      </x:c>
      <x:c r="E24" s="858"/>
      <x:c r="F24" s="858"/>
      <x:c r="G24" s="858"/>
      <x:c r="H24" s="484" t="str">
        <x:v>NZD</x:v>
      </x:c>
      <x:c r="I24" s="484"/>
      <x:c r="J24" s="484" t="str">
        <x:v>Yes — Stage 2</x:v>
      </x:c>
      <x:c r="K24" s="484"/>
      <x:c r="L24" s="484" t="str">
        <x:v>Stage 2</x:v>
      </x:c>
      <x:c r="M24" s="484"/>
      <x:c r="N24" s="484" t="str">
        <x:v>Programme expenditure and participant-attributed protected capital.</x:v>
      </x:c>
      <x:c r="O24" s="484"/>
      <x:c r="P24" s="484"/>
      <x:c r="Q24" s="484"/>
    </x:row>
    <x:row r="25" ht="30" customHeight="1">
      <x:c r="A25" s="484" t="str">
        <x:v>Investment earnings</x:v>
      </x:c>
      <x:c r="B25" s="856"/>
      <x:c r="C25" s="856"/>
      <x:c r="D25" s="858" t="n">
        <x:f>SUM(H5:H19)</x:f>
        <x:v>152872621.11370265</x:v>
      </x:c>
      <x:c r="E25" s="858"/>
      <x:c r="F25" s="858"/>
      <x:c r="G25" s="858"/>
      <x:c r="H25" s="484" t="str">
        <x:v>NZD</x:v>
      </x:c>
      <x:c r="I25" s="484"/>
      <x:c r="J25" s="484" t="str">
        <x:v>No additional appropriation</x:v>
      </x:c>
      <x:c r="K25" s="484"/>
      <x:c r="L25" s="484" t="str">
        <x:v>A08–A10</x:v>
      </x:c>
      <x:c r="M25" s="484"/>
      <x:c r="N25" s="484" t="str">
        <x:v>Market outcome; not guaranteed and not automatically free social value.</x:v>
      </x:c>
      <x:c r="O25" s="484"/>
      <x:c r="P25" s="484"/>
      <x:c r="Q25" s="484"/>
    </x:row>
    <x:row r="26" ht="30" customHeight="1">
      <x:c r="A26" s="484" t="str">
        <x:v>Education and apprenticeship withdrawals</x:v>
      </x:c>
      <x:c r="B26" s="856"/>
      <x:c r="C26" s="856"/>
      <x:c r="D26" s="858" t="n">
        <x:f>SUM(I5:J19)</x:f>
        <x:v>355638602.22326756</x:v>
      </x:c>
      <x:c r="E26" s="858"/>
      <x:c r="F26" s="858"/>
      <x:c r="G26" s="858"/>
      <x:c r="H26" s="484" t="str">
        <x:v>NZD</x:v>
      </x:c>
      <x:c r="I26" s="484"/>
      <x:c r="J26" s="484" t="str">
        <x:v>Use of existing account asset</x:v>
      </x:c>
      <x:c r="K26" s="484"/>
      <x:c r="L26" s="484" t="str">
        <x:v>A11–A14</x:v>
      </x:c>
      <x:c r="M26" s="484"/>
      <x:c r="N26" s="484" t="str">
        <x:v>Occurs after school exit under approved-use rules.</x:v>
      </x:c>
      <x:c r="O26" s="484"/>
      <x:c r="P26" s="484"/>
      <x:c r="Q26" s="484"/>
    </x:row>
    <x:row r="27" ht="30" customHeight="1">
      <x:c r="A27" s="484" t="str">
        <x:v>Gross student-loan lending displaced</x:v>
      </x:c>
      <x:c r="B27" s="856"/>
      <x:c r="C27" s="856"/>
      <x:c r="D27" s="858" t="n">
        <x:f>SUM(L5:L19)</x:f>
        <x:v>170706529.06716847</x:v>
      </x:c>
      <x:c r="E27" s="858"/>
      <x:c r="F27" s="858"/>
      <x:c r="G27" s="858"/>
      <x:c r="H27" s="484" t="str">
        <x:v>NZD</x:v>
      </x:c>
      <x:c r="I27" s="484"/>
      <x:c r="J27" s="484" t="str">
        <x:v>No</x:v>
      </x:c>
      <x:c r="K27" s="484"/>
      <x:c r="L27" s="484" t="str">
        <x:v>S24;A12</x:v>
      </x:c>
      <x:c r="M27" s="484"/>
      <x:c r="N27" s="484" t="str">
        <x:v>Principal displacement is not itself a net Crown saving.</x:v>
      </x:c>
      <x:c r="O27" s="484"/>
      <x:c r="P27" s="484"/>
      <x:c r="Q27" s="484"/>
    </x:row>
    <x:row r="28" ht="30" customHeight="1">
      <x:c r="A28" s="484" t="str">
        <x:v>Official fair-value cost avoided</x:v>
      </x:c>
      <x:c r="B28" s="856"/>
      <x:c r="C28" s="856"/>
      <x:c r="D28" s="858" t="n">
        <x:f>SUM(M5:M19)</x:f>
        <x:v>58449915.55259848</x:v>
      </x:c>
      <x:c r="E28" s="858"/>
      <x:c r="F28" s="858"/>
      <x:c r="G28" s="858"/>
      <x:c r="H28" s="484" t="str">
        <x:v>NZD</x:v>
      </x:c>
      <x:c r="I28" s="484"/>
      <x:c r="J28" s="484" t="str">
        <x:v>Fiscal offset</x:v>
      </x:c>
      <x:c r="K28" s="484"/>
      <x:c r="L28" s="484" t="str">
        <x:v>S24</x:v>
      </x:c>
      <x:c r="M28" s="484"/>
      <x:c r="N28" s="484" t="str">
        <x:v>Central Crown origination measure.</x:v>
      </x:c>
      <x:c r="O28" s="484"/>
      <x:c r="P28" s="484"/>
      <x:c r="Q28" s="484"/>
    </x:row>
    <x:row r="29" ht="30" customHeight="1">
      <x:c r="A29" s="484" t="str">
        <x:v>Account administration plus induced-study cost</x:v>
      </x:c>
      <x:c r="B29" s="856"/>
      <x:c r="C29" s="856"/>
      <x:c r="D29" s="858" t="n">
        <x:f>SUM(N5:N19)+SUM(O5:O19)</x:f>
        <x:v>52622218.400000006</x:v>
      </x:c>
      <x:c r="E29" s="858"/>
      <x:c r="F29" s="858"/>
      <x:c r="G29" s="858"/>
      <x:c r="H29" s="484" t="str">
        <x:v>NZD</x:v>
      </x:c>
      <x:c r="I29" s="484"/>
      <x:c r="J29" s="484" t="str">
        <x:v>Consequential fiscal cost</x:v>
      </x:c>
      <x:c r="K29" s="484"/>
      <x:c r="L29" s="484" t="str">
        <x:v>A09;A16</x:v>
      </x:c>
      <x:c r="M29" s="484"/>
      <x:c r="N29" s="484" t="str">
        <x:v>Deducted when assessing the account mechanism.</x:v>
      </x:c>
      <x:c r="O29" s="484"/>
      <x:c r="P29" s="484"/>
      <x:c r="Q29" s="484"/>
    </x:row>
    <x:row r="30" ht="30" customHeight="1">
      <x:c r="A30" s="860" t="str">
        <x:v>Net Crown fiscal offset</x:v>
      </x:c>
      <x:c r="B30" s="861"/>
      <x:c r="C30" s="861"/>
      <x:c r="D30" s="861" t="n">
        <x:f>SUM(P5:P19)</x:f>
        <x:v>5827697.152598478</x:v>
      </x:c>
      <x:c r="E30" s="861"/>
      <x:c r="F30" s="861" t="n">
        <x:f>SUM(Q5:Q19)</x:f>
        <x:v>1531522.8685146212</x:v>
      </x:c>
      <x:c r="G30" s="861"/>
      <x:c r="H30" s="860" t="str">
        <x:v>NZD</x:v>
      </x:c>
      <x:c r="I30" s="860"/>
      <x:c r="J30" s="860" t="str">
        <x:v>Not netted against programme-payment expenditure</x:v>
      </x:c>
      <x:c r="K30" s="860"/>
      <x:c r="L30" s="860" t="str">
        <x:v>Calculated</x:v>
      </x:c>
      <x:c r="M30" s="860"/>
      <x:c r="N30" s="860" t="str">
        <x:v>Offset arises after approved withdrawals.</x:v>
      </x:c>
      <x:c r="O30" s="860"/>
      <x:c r="P30" s="860"/>
      <x:c r="Q30" s="860"/>
    </x:row>
    <x:row r="31" ht="30" customHeight="1">
      <x:c r="A31" s="484" t="str">
        <x:v>Closing residual protected assets</x:v>
      </x:c>
      <x:c r="B31" s="856"/>
      <x:c r="C31" s="856"/>
      <x:c r="D31" s="858" t="n">
        <x:f>K19</x:f>
        <x:v>405132868.8904352</x:v>
      </x:c>
      <x:c r="E31" s="858"/>
      <x:c r="F31" s="858"/>
      <x:c r="G31" s="858"/>
      <x:c r="H31" s="484" t="str">
        <x:v>NZD</x:v>
      </x:c>
      <x:c r="I31" s="484"/>
      <x:c r="J31" s="484" t="str">
        <x:v>No</x:v>
      </x:c>
      <x:c r="K31" s="484"/>
      <x:c r="L31" s="484" t="str">
        <x:v>A13–A15</x:v>
      </x:c>
      <x:c r="M31" s="484"/>
      <x:c r="N31" s="484" t="str">
        <x:v>Remain available for approved use until the policy age limit.</x:v>
      </x:c>
      <x:c r="O31" s="484"/>
      <x:c r="P31" s="484"/>
      <x:c r="Q31" s="484"/>
    </x:row>
  </x:sheetData>
  <x:mergeCells>
    <x:mergeCell ref="A1:Q1"/>
    <x:mergeCell ref="A2:Q2"/>
    <x:mergeCell ref="A21:Q21"/>
    <x:mergeCell ref="A22:C22"/>
    <x:mergeCell ref="D22:E22"/>
    <x:mergeCell ref="F22:G22"/>
    <x:mergeCell ref="H22:I22"/>
    <x:mergeCell ref="J22:K22"/>
    <x:mergeCell ref="L22:M22"/>
    <x:mergeCell ref="N22:Q22"/>
    <x:mergeCell ref="A23:C23"/>
    <x:mergeCell ref="D23:E23"/>
    <x:mergeCell ref="F23:G23"/>
    <x:mergeCell ref="H23:I23"/>
    <x:mergeCell ref="J23:K23"/>
    <x:mergeCell ref="L23:M23"/>
    <x:mergeCell ref="N23:Q23"/>
    <x:mergeCell ref="A24:C24"/>
    <x:mergeCell ref="D24:E24"/>
    <x:mergeCell ref="F24:G24"/>
    <x:mergeCell ref="H24:I24"/>
    <x:mergeCell ref="J24:K24"/>
    <x:mergeCell ref="L24:M24"/>
    <x:mergeCell ref="N24:Q24"/>
    <x:mergeCell ref="A25:C25"/>
    <x:mergeCell ref="D25:E25"/>
    <x:mergeCell ref="F25:G25"/>
    <x:mergeCell ref="H25:I25"/>
    <x:mergeCell ref="J25:K25"/>
    <x:mergeCell ref="L25:M25"/>
    <x:mergeCell ref="N25:Q25"/>
    <x:mergeCell ref="A26:C26"/>
    <x:mergeCell ref="D26:E26"/>
    <x:mergeCell ref="F26:G26"/>
    <x:mergeCell ref="H26:I26"/>
    <x:mergeCell ref="J26:K26"/>
    <x:mergeCell ref="L26:M26"/>
    <x:mergeCell ref="N26:Q26"/>
    <x:mergeCell ref="A27:C27"/>
    <x:mergeCell ref="D27:E27"/>
    <x:mergeCell ref="F27:G27"/>
    <x:mergeCell ref="H27:I27"/>
    <x:mergeCell ref="J27:K27"/>
    <x:mergeCell ref="L27:M27"/>
    <x:mergeCell ref="N27:Q27"/>
    <x:mergeCell ref="A28:C28"/>
    <x:mergeCell ref="D28:E28"/>
    <x:mergeCell ref="F28:G28"/>
    <x:mergeCell ref="H28:I28"/>
    <x:mergeCell ref="J28:K28"/>
    <x:mergeCell ref="L28:M28"/>
    <x:mergeCell ref="N28:Q28"/>
    <x:mergeCell ref="A29:C29"/>
    <x:mergeCell ref="D29:E29"/>
    <x:mergeCell ref="F29:G29"/>
    <x:mergeCell ref="H29:I29"/>
    <x:mergeCell ref="J29:K29"/>
    <x:mergeCell ref="L29:M29"/>
    <x:mergeCell ref="N29:Q29"/>
    <x:mergeCell ref="A30:C30"/>
    <x:mergeCell ref="D30:E30"/>
    <x:mergeCell ref="F30:G30"/>
    <x:mergeCell ref="H30:I30"/>
    <x:mergeCell ref="J30:K30"/>
    <x:mergeCell ref="L30:M30"/>
    <x:mergeCell ref="N30:Q30"/>
    <x:mergeCell ref="A31:C31"/>
    <x:mergeCell ref="D31:E31"/>
    <x:mergeCell ref="F31:G31"/>
    <x:mergeCell ref="H31:I31"/>
    <x:mergeCell ref="J31:K31"/>
    <x:mergeCell ref="L31:M31"/>
    <x:mergeCell ref="N31:Q31"/>
  </x:mergeCells>
  <x:pageMargins left="0.7" right="0.7" top="0.75" bottom="0.75" header="0.3" footer="0.3"/>
</x:worksheet>
</file>

<file path=xl/worksheets/sheet16.xml><?xml version="1.0" encoding="utf-8"?>
<x:worksheet xmlns:x="http://schemas.openxmlformats.org/spreadsheetml/2006/main">
  <x:sheetFormatPr defaultRowHeight="15"/>
  <x:cols>
    <x:col min="1" max="1" width="24" hidden="0" customWidth="1"/>
    <x:col min="2" max="2" width="14" hidden="0" customWidth="1"/>
    <x:col min="3" max="3" width="14" hidden="0" customWidth="1"/>
    <x:col min="4" max="4" width="19" hidden="0" customWidth="1"/>
    <x:col min="5" max="5" width="19" hidden="0" customWidth="1"/>
    <x:col min="6" max="6" width="17" hidden="0" customWidth="1"/>
    <x:col min="7" max="7" width="15" hidden="0" customWidth="1"/>
    <x:col min="8" max="8" width="14" hidden="0" customWidth="1"/>
    <x:col min="9" max="9" width="15" hidden="0" customWidth="1"/>
    <x:col min="10" max="10" width="18" hidden="0" customWidth="1"/>
    <x:col min="11" max="11" width="18" hidden="0" customWidth="1"/>
    <x:col min="12" max="12" width="24" hidden="0" customWidth="1"/>
  </x:cols>
  <x:sheetData>
    <x:row r="1" ht="30" customHeight="1">
      <x:c r="A1" s="533" t="str">
        <x:v>Illustrative Justice Sensitivity — Not an Evidence-Based Forecast</x:v>
      </x:c>
      <x:c r="B1" s="533"/>
      <x:c r="C1" s="533"/>
      <x:c r="D1" s="533"/>
      <x:c r="E1" s="533"/>
      <x:c r="F1" s="533"/>
      <x:c r="G1" s="533"/>
      <x:c r="H1" s="533"/>
      <x:c r="I1" s="533"/>
      <x:c r="J1" s="533"/>
      <x:c r="K1" s="533"/>
      <x:c r="L1" s="533"/>
    </x:row>
    <x:row r="2" ht="28" customHeight="1">
      <x:c r="A2" s="537" t="str">
        <x:v>The headline evidence case remains zero. Resource values are not assumed to be immediate cashable Corrections savings.</x:v>
      </x:c>
      <x:c r="B2" s="537" t="str">
        <x:v>The headline evidence case remains zero. Resource values are not assumed to be immediate cashable Corrections savings.</x:v>
      </x:c>
      <x:c r="C2" s="537" t="str">
        <x:v>The headline evidence case remains zero. Resource values are not assumed to be immediate cashable Corrections savings.</x:v>
      </x:c>
      <x:c r="D2" s="537" t="str">
        <x:v>The headline evidence case remains zero. Resource values are not assumed to be immediate cashable Corrections savings.</x:v>
      </x:c>
      <x:c r="E2" s="537" t="str">
        <x:v>The headline evidence case remains zero. Resource values are not assumed to be immediate cashable Corrections savings.</x:v>
      </x:c>
      <x:c r="F2" s="537" t="str">
        <x:v>The headline evidence case remains zero. Resource values are not assumed to be immediate cashable Corrections savings.</x:v>
      </x:c>
      <x:c r="G2" s="537" t="str">
        <x:v>The headline evidence case remains zero. Resource values are not assumed to be immediate cashable Corrections savings.</x:v>
      </x:c>
      <x:c r="H2" s="537" t="str">
        <x:v>The headline evidence case remains zero. Resource values are not assumed to be immediate cashable Corrections savings.</x:v>
      </x:c>
      <x:c r="I2" s="537" t="str">
        <x:v>The headline evidence case remains zero. Resource values are not assumed to be immediate cashable Corrections savings.</x:v>
      </x:c>
      <x:c r="J2" s="537" t="str">
        <x:v>The headline evidence case remains zero. Resource values are not assumed to be immediate cashable Corrections savings.</x:v>
      </x:c>
      <x:c r="K2" s="537" t="str">
        <x:v>The headline evidence case remains zero. Resource values are not assumed to be immediate cashable Corrections savings.</x:v>
      </x:c>
      <x:c r="L2" s="537" t="str">
        <x:v>The headline evidence case remains zero. Resource values are not assumed to be immediate cashable Corrections savings.</x:v>
      </x:c>
    </x:row>
    <x:row r="4" ht="28" customHeight="1">
      <x:c r="A4" s="527" t="str">
        <x:v>Scenario</x:v>
      </x:c>
      <x:c r="B4" s="527" t="str">
        <x:v>Justice sensitivity</x:v>
      </x:c>
      <x:c r="C4" s="527" t="str">
        <x:v>Averted sustained NEET cases</x:v>
      </x:c>
      <x:c r="D4" s="527" t="str">
        <x:v>Prisoner-years per applicable case</x:v>
      </x:c>
      <x:c r="E4" s="527" t="str">
        <x:v>Averted prisoner-years</x:v>
      </x:c>
      <x:c r="F4" s="527" t="str">
        <x:v>CBAx resource value / year</x:v>
      </x:c>
      <x:c r="G4" s="527" t="str">
        <x:v>Illustrative prison resource value</x:v>
      </x:c>
      <x:c r="H4" s="527" t="str">
        <x:v>Cashable Corrections saving</x:v>
      </x:c>
    </x:row>
    <x:row r="5">
      <x:c r="A5" s="600" t="str">
        <x:v>Headline evidence</x:v>
      </x:c>
      <x:c r="B5" s="601" t="n">
        <x:f>Assumptions!$E$124</x:f>
        <x:v>0</x:v>
      </x:c>
      <x:c r="C5" s="602" t="n">
        <x:f>'Benefits &amp; BCR'!$C$18</x:f>
        <x:v>1402.8434999999997</x:v>
      </x:c>
      <x:c r="D5" s="602" t="n">
        <x:f>Assumptions!$E$128</x:f>
        <x:v>1</x:v>
      </x:c>
      <x:c r="E5" s="602" t="n">
        <x:f>B5*C5*D5</x:f>
        <x:v>0</x:v>
      </x:c>
      <x:c r="F5" s="603" t="n">
        <x:f>Assumptions!$E$129</x:f>
        <x:v>211350</x:v>
      </x:c>
      <x:c r="G5" s="603" t="n">
        <x:f>E5*F5</x:f>
        <x:v>0</x:v>
      </x:c>
      <x:c r="H5" s="603" t="n">
        <x:f>G5*Assumptions!$E$131</x:f>
        <x:v>0</x:v>
      </x:c>
    </x:row>
    <x:row r="6">
      <x:c r="A6" t="str">
        <x:v>Low sensitivity</x:v>
      </x:c>
      <x:c r="B6" s="264" t="n">
        <x:f>Assumptions!$E$125</x:f>
        <x:v>0.005</x:v>
      </x:c>
      <x:c r="C6" s="599" t="n">
        <x:f>'Benefits &amp; BCR'!$C$18</x:f>
        <x:v>1402.8434999999997</x:v>
      </x:c>
      <x:c r="D6" s="599" t="n">
        <x:f>Assumptions!$E$128</x:f>
        <x:v>1</x:v>
      </x:c>
      <x:c r="E6" s="599" t="n">
        <x:f>B6*C6*D6</x:f>
        <x:v>7.014217499999999</x:v>
      </x:c>
      <x:c r="F6" s="160" t="n">
        <x:f>Assumptions!$E$129</x:f>
        <x:v>211350</x:v>
      </x:c>
      <x:c r="G6" s="160" t="n">
        <x:f>E6*F6</x:f>
        <x:v>1482454.868625</x:v>
      </x:c>
      <x:c r="H6" s="160" t="n">
        <x:f>G6*Assumptions!$E$131</x:f>
        <x:v>0</x:v>
      </x:c>
    </x:row>
    <x:row r="7">
      <x:c r="A7" s="580" t="str">
        <x:v>Central sensitivity</x:v>
      </x:c>
      <x:c r="B7" s="604" t="n">
        <x:f>Assumptions!$E$126</x:f>
        <x:v>0.01</x:v>
      </x:c>
      <x:c r="C7" s="605" t="n">
        <x:f>'Benefits &amp; BCR'!$C$18</x:f>
        <x:v>1402.8434999999997</x:v>
      </x:c>
      <x:c r="D7" s="605" t="n">
        <x:f>Assumptions!$E$128</x:f>
        <x:v>1</x:v>
      </x:c>
      <x:c r="E7" s="605" t="n">
        <x:f>B7*C7*D7</x:f>
        <x:v>14.028434999999998</x:v>
      </x:c>
      <x:c r="F7" s="579" t="n">
        <x:f>Assumptions!$E$129</x:f>
        <x:v>211350</x:v>
      </x:c>
      <x:c r="G7" s="579" t="n">
        <x:f>E7*F7</x:f>
        <x:v>2964909.73725</x:v>
      </x:c>
      <x:c r="H7" s="579" t="n">
        <x:f>G7*Assumptions!$E$131</x:f>
        <x:v>0</x:v>
      </x:c>
    </x:row>
    <x:row r="8">
      <x:c r="A8" t="str">
        <x:v>High sensitivity</x:v>
      </x:c>
      <x:c r="B8" s="264" t="n">
        <x:f>Assumptions!$E$127</x:f>
        <x:v>0.02</x:v>
      </x:c>
      <x:c r="C8" s="599" t="n">
        <x:f>'Benefits &amp; BCR'!$C$18</x:f>
        <x:v>1402.8434999999997</x:v>
      </x:c>
      <x:c r="D8" s="599" t="n">
        <x:f>Assumptions!$E$128</x:f>
        <x:v>1</x:v>
      </x:c>
      <x:c r="E8" s="599" t="n">
        <x:f>B8*C8*D8</x:f>
        <x:v>28.056869999999996</x:v>
      </x:c>
      <x:c r="F8" s="160" t="n">
        <x:f>Assumptions!$E$129</x:f>
        <x:v>211350</x:v>
      </x:c>
      <x:c r="G8" s="160" t="n">
        <x:f>E8*F8</x:f>
        <x:v>5929819.4745</x:v>
      </x:c>
      <x:c r="H8" s="160" t="n">
        <x:f>G8*Assumptions!$E$131</x:f>
        <x:v>0</x:v>
      </x:c>
    </x:row>
    <x:row r="10">
      <x:c r="A10" s="608" t="str">
        <x:v>These sensitivities do not represent measured crime reduction, proven programme impact, prisoner numbers, or immediate cash released to fund participation payments. The CBAx value is a resource-value sensitivity. Corrections reports an average sentenced-prison cost of $552 per day in 2024/25, but notes that overhead and fixed costs are included.</x:v>
      </x:c>
      <x:c r="B10" s="608"/>
      <x:c r="C10" s="608"/>
      <x:c r="D10" s="608"/>
      <x:c r="E10" s="608"/>
      <x:c r="F10" s="608"/>
      <x:c r="G10" s="608"/>
      <x:c r="H10" s="608"/>
      <x:c r="I10" s="608"/>
      <x:c r="J10" s="608"/>
      <x:c r="K10" s="608"/>
      <x:c r="L10" s="608"/>
    </x:row>
    <x:row r="11">
      <x:c r="A11" s="608"/>
      <x:c r="B11" s="608"/>
      <x:c r="C11" s="608"/>
      <x:c r="D11" s="608"/>
      <x:c r="E11" s="608"/>
      <x:c r="F11" s="608"/>
      <x:c r="G11" s="608"/>
      <x:c r="H11" s="608"/>
      <x:c r="I11" s="608"/>
      <x:c r="J11" s="608"/>
      <x:c r="K11" s="608"/>
      <x:c r="L11" s="608"/>
    </x:row>
    <x:row r="12">
      <x:c r="A12" s="608"/>
      <x:c r="B12" s="608"/>
      <x:c r="C12" s="608"/>
      <x:c r="D12" s="608"/>
      <x:c r="E12" s="608"/>
      <x:c r="F12" s="608"/>
      <x:c r="G12" s="608"/>
      <x:c r="H12" s="608"/>
      <x:c r="I12" s="608"/>
      <x:c r="J12" s="608"/>
      <x:c r="K12" s="608"/>
      <x:c r="L12" s="608"/>
    </x:row>
    <x:row r="13">
      <x:c r="A13" s="608"/>
      <x:c r="B13" s="608"/>
      <x:c r="C13" s="608"/>
      <x:c r="D13" s="608"/>
      <x:c r="E13" s="608"/>
      <x:c r="F13" s="608"/>
      <x:c r="G13" s="608"/>
      <x:c r="H13" s="608"/>
      <x:c r="I13" s="608"/>
      <x:c r="J13" s="608"/>
      <x:c r="K13" s="608"/>
      <x:c r="L13" s="608"/>
    </x:row>
    <x:row r="15" ht="22" customHeight="1">
      <x:c r="A15" s="506" t="str">
        <x:v>Victim-harm framework — central values remain zero pending evidence</x:v>
      </x:c>
      <x:c r="B15" s="506" t="str">
        <x:v>Victim-harm framework — central values remain zero pending evidence</x:v>
      </x:c>
      <x:c r="C15" s="506" t="str">
        <x:v>Victim-harm framework — central values remain zero pending evidence</x:v>
      </x:c>
      <x:c r="D15" s="506" t="str">
        <x:v>Victim-harm framework — central values remain zero pending evidence</x:v>
      </x:c>
      <x:c r="E15" s="506" t="str">
        <x:v>Victim-harm framework — central values remain zero pending evidence</x:v>
      </x:c>
      <x:c r="F15" s="506" t="str">
        <x:v>Victim-harm framework — central values remain zero pending evidence</x:v>
      </x:c>
      <x:c r="G15" s="506" t="str">
        <x:v>Victim-harm framework — central values remain zero pending evidence</x:v>
      </x:c>
      <x:c r="H15" s="506" t="str">
        <x:v>Victim-harm framework — central values remain zero pending evidence</x:v>
      </x:c>
      <x:c r="I15" s="506" t="str">
        <x:v>Victim-harm framework — central values remain zero pending evidence</x:v>
      </x:c>
      <x:c r="J15" s="506" t="str">
        <x:v>Victim-harm framework — central values remain zero pending evidence</x:v>
      </x:c>
      <x:c r="K15" s="506" t="str">
        <x:v>Victim-harm framework — central values remain zero pending evidence</x:v>
      </x:c>
      <x:c r="L15" s="506" t="str">
        <x:v>Victim-harm framework — central values remain zero pending evidence</x:v>
      </x:c>
    </x:row>
    <x:row r="16" ht="28" customHeight="1">
      <x:c r="A16" s="527" t="str">
        <x:v>Offence category</x:v>
      </x:c>
      <x:c r="B16" s="527" t="str">
        <x:v>Incidents prevented</x:v>
      </x:c>
      <x:c r="C16" s="527" t="str">
        <x:v>Victims per incident</x:v>
      </x:c>
      <x:c r="D16" s="527" t="str">
        <x:v>Private / victim harm per incident</x:v>
      </x:c>
      <x:c r="E16" s="527" t="str">
        <x:v>Justice-system component</x:v>
      </x:c>
      <x:c r="F16" s="527" t="str">
        <x:v>Source ID</x:v>
      </x:c>
      <x:c r="G16" s="527" t="str">
        <x:v>Programme attribution</x:v>
      </x:c>
      <x:c r="H16" s="527" t="str">
        <x:v>Confidence</x:v>
      </x:c>
      <x:c r="I16" s="527" t="str">
        <x:v>Overlap adjustment</x:v>
      </x:c>
      <x:c r="J16" s="527" t="str">
        <x:v>Adjusted private harm</x:v>
      </x:c>
      <x:c r="K16" s="527" t="str">
        <x:v>Adjusted justice component</x:v>
      </x:c>
      <x:c r="L16" s="527" t="str">
        <x:v>Central inclusion</x:v>
      </x:c>
    </x:row>
    <x:row r="17">
      <x:c r="A17" t="str">
        <x:v>Theft</x:v>
      </x:c>
      <x:c r="B17" s="610" t="n">
        <x:v>0</x:v>
      </x:c>
      <x:c r="C17" s="610" t="n">
        <x:v>0</x:v>
      </x:c>
      <x:c r="D17" s="611" t="n">
        <x:v>0</x:v>
      </x:c>
      <x:c r="E17" s="611" t="n">
        <x:v>0</x:v>
      </x:c>
      <x:c r="F17" s="609" t="str">
        <x:v>Source required</x:v>
      </x:c>
      <x:c r="G17" s="612" t="n">
        <x:v>0</x:v>
      </x:c>
      <x:c r="H17" s="609" t="str">
        <x:v>None</x:v>
      </x:c>
      <x:c r="I17" s="612" t="n">
        <x:v>0</x:v>
      </x:c>
      <x:c r="J17" s="249" t="n">
        <x:f>B17*C17*D17*G17*(1-I17)</x:f>
        <x:v>0</x:v>
      </x:c>
      <x:c r="K17" s="249" t="n">
        <x:f>B17*E17*G17*(1-I17)</x:f>
        <x:v>0</x:v>
      </x:c>
      <x:c r="L17" t="str">
        <x:v>Excluded pending evidence</x:v>
      </x:c>
    </x:row>
    <x:row r="18">
      <x:c r="A18" t="str">
        <x:v>Burglary</x:v>
      </x:c>
      <x:c r="B18" s="610" t="n">
        <x:v>0</x:v>
      </x:c>
      <x:c r="C18" s="610" t="n">
        <x:v>0</x:v>
      </x:c>
      <x:c r="D18" s="611" t="n">
        <x:v>0</x:v>
      </x:c>
      <x:c r="E18" s="611" t="n">
        <x:v>0</x:v>
      </x:c>
      <x:c r="F18" s="609" t="str">
        <x:v>Source required</x:v>
      </x:c>
      <x:c r="G18" s="612" t="n">
        <x:v>0</x:v>
      </x:c>
      <x:c r="H18" s="609" t="str">
        <x:v>None</x:v>
      </x:c>
      <x:c r="I18" s="612" t="n">
        <x:v>0</x:v>
      </x:c>
      <x:c r="J18" s="249" t="n">
        <x:f>B18*C18*D18*G18*(1-I18)</x:f>
        <x:v>0</x:v>
      </x:c>
      <x:c r="K18" s="249" t="n">
        <x:f>B18*E18*G18*(1-I18)</x:f>
        <x:v>0</x:v>
      </x:c>
      <x:c r="L18" t="str">
        <x:v>Excluded pending evidence</x:v>
      </x:c>
    </x:row>
    <x:row r="19">
      <x:c r="A19" t="str">
        <x:v>Robbery</x:v>
      </x:c>
      <x:c r="B19" s="610" t="n">
        <x:v>0</x:v>
      </x:c>
      <x:c r="C19" s="610" t="n">
        <x:v>0</x:v>
      </x:c>
      <x:c r="D19" s="611" t="n">
        <x:v>0</x:v>
      </x:c>
      <x:c r="E19" s="611" t="n">
        <x:v>0</x:v>
      </x:c>
      <x:c r="F19" s="609" t="str">
        <x:v>Source required</x:v>
      </x:c>
      <x:c r="G19" s="612" t="n">
        <x:v>0</x:v>
      </x:c>
      <x:c r="H19" s="609" t="str">
        <x:v>None</x:v>
      </x:c>
      <x:c r="I19" s="612" t="n">
        <x:v>0</x:v>
      </x:c>
      <x:c r="J19" s="249" t="n">
        <x:f>B19*C19*D19*G19*(1-I19)</x:f>
        <x:v>0</x:v>
      </x:c>
      <x:c r="K19" s="249" t="n">
        <x:f>B19*E19*G19*(1-I19)</x:f>
        <x:v>0</x:v>
      </x:c>
      <x:c r="L19" t="str">
        <x:v>Excluded pending evidence</x:v>
      </x:c>
    </x:row>
    <x:row r="20">
      <x:c r="A20" t="str">
        <x:v>Non-fatal violence</x:v>
      </x:c>
      <x:c r="B20" s="610" t="n">
        <x:v>0</x:v>
      </x:c>
      <x:c r="C20" s="610" t="n">
        <x:v>0</x:v>
      </x:c>
      <x:c r="D20" s="611" t="n">
        <x:v>0</x:v>
      </x:c>
      <x:c r="E20" s="611" t="n">
        <x:v>0</x:v>
      </x:c>
      <x:c r="F20" s="609" t="str">
        <x:v>Source required</x:v>
      </x:c>
      <x:c r="G20" s="612" t="n">
        <x:v>0</x:v>
      </x:c>
      <x:c r="H20" s="609" t="str">
        <x:v>None</x:v>
      </x:c>
      <x:c r="I20" s="612" t="n">
        <x:v>0</x:v>
      </x:c>
      <x:c r="J20" s="249" t="n">
        <x:f>B20*C20*D20*G20*(1-I20)</x:f>
        <x:v>0</x:v>
      </x:c>
      <x:c r="K20" s="249" t="n">
        <x:f>B20*E20*G20*(1-I20)</x:f>
        <x:v>0</x:v>
      </x:c>
      <x:c r="L20" t="str">
        <x:v>Excluded pending evidence</x:v>
      </x:c>
    </x:row>
    <x:row r="21">
      <x:c r="A21" t="str">
        <x:v>Assault</x:v>
      </x:c>
      <x:c r="B21" s="610" t="n">
        <x:v>0</x:v>
      </x:c>
      <x:c r="C21" s="610" t="n">
        <x:v>0</x:v>
      </x:c>
      <x:c r="D21" s="611" t="n">
        <x:v>0</x:v>
      </x:c>
      <x:c r="E21" s="611" t="n">
        <x:v>0</x:v>
      </x:c>
      <x:c r="F21" s="609" t="str">
        <x:v>Source required</x:v>
      </x:c>
      <x:c r="G21" s="612" t="n">
        <x:v>0</x:v>
      </x:c>
      <x:c r="H21" s="609" t="str">
        <x:v>None</x:v>
      </x:c>
      <x:c r="I21" s="612" t="n">
        <x:v>0</x:v>
      </x:c>
      <x:c r="J21" s="249" t="n">
        <x:f>B21*C21*D21*G21*(1-I21)</x:f>
        <x:v>0</x:v>
      </x:c>
      <x:c r="K21" s="249" t="n">
        <x:f>B21*E21*G21*(1-I21)</x:f>
        <x:v>0</x:v>
      </x:c>
      <x:c r="L21" t="str">
        <x:v>Excluded pending evidence</x:v>
      </x:c>
    </x:row>
    <x:row r="22">
      <x:c r="A22" t="str">
        <x:v>Property damage</x:v>
      </x:c>
      <x:c r="B22" s="610" t="n">
        <x:v>0</x:v>
      </x:c>
      <x:c r="C22" s="610" t="n">
        <x:v>0</x:v>
      </x:c>
      <x:c r="D22" s="611" t="n">
        <x:v>0</x:v>
      </x:c>
      <x:c r="E22" s="611" t="n">
        <x:v>0</x:v>
      </x:c>
      <x:c r="F22" s="609" t="str">
        <x:v>Source required</x:v>
      </x:c>
      <x:c r="G22" s="612" t="n">
        <x:v>0</x:v>
      </x:c>
      <x:c r="H22" s="609" t="str">
        <x:v>None</x:v>
      </x:c>
      <x:c r="I22" s="612" t="n">
        <x:v>0</x:v>
      </x:c>
      <x:c r="J22" s="249" t="n">
        <x:f>B22*C22*D22*G22*(1-I22)</x:f>
        <x:v>0</x:v>
      </x:c>
      <x:c r="K22" s="249" t="n">
        <x:f>B22*E22*G22*(1-I22)</x:f>
        <x:v>0</x:v>
      </x:c>
      <x:c r="L22" t="str">
        <x:v>Excluded pending evidence</x:v>
      </x:c>
    </x:row>
    <x:row r="23">
      <x:c r="A23" t="str">
        <x:v>Relevant drug offending</x:v>
      </x:c>
      <x:c r="B23" s="610" t="n">
        <x:v>0</x:v>
      </x:c>
      <x:c r="C23" s="610" t="n">
        <x:v>0</x:v>
      </x:c>
      <x:c r="D23" s="611" t="n">
        <x:v>0</x:v>
      </x:c>
      <x:c r="E23" s="611" t="n">
        <x:v>0</x:v>
      </x:c>
      <x:c r="F23" s="609" t="str">
        <x:v>Source required</x:v>
      </x:c>
      <x:c r="G23" s="612" t="n">
        <x:v>0</x:v>
      </x:c>
      <x:c r="H23" s="609" t="str">
        <x:v>None</x:v>
      </x:c>
      <x:c r="I23" s="612" t="n">
        <x:v>0</x:v>
      </x:c>
      <x:c r="J23" s="249" t="n">
        <x:f>B23*C23*D23*G23*(1-I23)</x:f>
        <x:v>0</x:v>
      </x:c>
      <x:c r="K23" s="249" t="n">
        <x:f>B23*E23*G23*(1-I23)</x:f>
        <x:v>0</x:v>
      </x:c>
      <x:c r="L23" t="str">
        <x:v>Excluded pending evidence</x:v>
      </x:c>
    </x:row>
    <x:row r="25">
      <x:c r="A25" s="614" t="str">
        <x:v>Do not multiply prisoner numbers by a generic victim-cost value. Each offence category requires an offence mix, incidents, victims, source, attribution, confidence and overlap adjustment. Homicide is excluded from this analysis.</x:v>
      </x:c>
      <x:c r="B25" s="614"/>
      <x:c r="C25" s="614"/>
      <x:c r="D25" s="614"/>
      <x:c r="E25" s="614"/>
      <x:c r="F25" s="614"/>
      <x:c r="G25" s="614"/>
      <x:c r="H25" s="614"/>
      <x:c r="I25" s="614"/>
      <x:c r="J25" s="614"/>
      <x:c r="K25" s="614"/>
      <x:c r="L25" s="614"/>
    </x:row>
    <x:row r="26">
      <x:c r="A26" s="614"/>
      <x:c r="B26" s="614"/>
      <x:c r="C26" s="614"/>
      <x:c r="D26" s="614"/>
      <x:c r="E26" s="614"/>
      <x:c r="F26" s="614"/>
      <x:c r="G26" s="614"/>
      <x:c r="H26" s="614"/>
      <x:c r="I26" s="614"/>
      <x:c r="J26" s="614"/>
      <x:c r="K26" s="614"/>
      <x:c r="L26" s="614"/>
    </x:row>
  </x:sheetData>
  <x:mergeCells>
    <x:mergeCell ref="A1:L1"/>
    <x:mergeCell ref="A2:L2"/>
    <x:mergeCell ref="A10:L13"/>
    <x:mergeCell ref="A15:L15"/>
    <x:mergeCell ref="A25:L26"/>
  </x:mergeCells>
  <x:pageMargins left="0.7" right="0.7" top="0.75" bottom="0.75" header="0.3" footer="0.3"/>
</x:worksheet>
</file>

<file path=xl/worksheets/sheet17.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27" hidden="0" customWidth="1"/>
    <x:col min="9" max="9" width="17" hidden="0" customWidth="1"/>
    <x:col min="10" max="10" width="17" hidden="0" customWidth="1"/>
    <x:col min="11" max="11" width="18" hidden="0" customWidth="1"/>
    <x:col min="12" max="12" width="18" hidden="0" customWidth="1"/>
    <x:col min="13" max="13" width="20" hidden="0" customWidth="1"/>
    <x:col min="14" max="14" width="34" hidden="0" customWidth="1"/>
  </x:cols>
  <x:sheetData>
    <x:row r="1" ht="30" customHeight="1">
      <x:c r="A1" s="897" t="str">
        <x:v>Universal Core, Targeted Accelerator and Co-investment Scenarios</x:v>
      </x:c>
      <x:c r="B1" s="897"/>
      <x:c r="C1" s="897"/>
      <x:c r="D1" s="897"/>
      <x:c r="E1" s="897"/>
      <x:c r="F1" s="897"/>
      <x:c r="G1" s="897"/>
      <x:c r="H1" s="897"/>
      <x:c r="I1" s="897"/>
      <x:c r="J1" s="897"/>
      <x:c r="K1" s="897"/>
      <x:c r="L1" s="897"/>
      <x:c r="M1" s="897"/>
      <x:c r="N1" s="897"/>
    </x:row>
    <x:row r="2" ht="28" customHeight="1">
      <x:c r="A2" s="901" t="str">
        <x:v>Scenario costs separate universal baseline support from additional intensity. No uncommitted industry funding is included in central Crown results.</x:v>
      </x:c>
      <x:c r="B2" s="901"/>
      <x:c r="C2" s="901"/>
      <x:c r="D2" s="901"/>
      <x:c r="E2" s="901"/>
      <x:c r="F2" s="901"/>
      <x:c r="G2" s="901"/>
      <x:c r="H2" s="901"/>
      <x:c r="I2" s="901"/>
      <x:c r="J2" s="901"/>
      <x:c r="K2" s="901"/>
      <x:c r="L2" s="901"/>
      <x:c r="M2" s="901"/>
      <x:c r="N2" s="901"/>
    </x:row>
    <x:row r="4" ht="23" customHeight="1">
      <x:c r="A4" s="905" t="str">
        <x:v>Central delivery cost architecture</x:v>
      </x:c>
      <x:c r="B4" s="905"/>
      <x:c r="C4" s="905"/>
      <x:c r="D4" s="905"/>
      <x:c r="E4" s="905"/>
      <x:c r="F4" s="905"/>
      <x:c r="G4" s="905"/>
      <x:c r="H4" s="905"/>
      <x:c r="I4" s="905"/>
      <x:c r="J4" s="905"/>
      <x:c r="K4" s="905"/>
      <x:c r="L4" s="905"/>
      <x:c r="M4" s="905"/>
      <x:c r="N4" s="905"/>
    </x:row>
    <x:row r="5" ht="30" customHeight="1">
      <x:c r="A5" s="909" t="str">
        <x:v>Cost driver</x:v>
      </x:c>
      <x:c r="B5" s="909" t="str">
        <x:v>Central value</x:v>
      </x:c>
      <x:c r="C5" s="909" t="str">
        <x:v>Unit</x:v>
      </x:c>
      <x:c r="D5" s="909" t="str">
        <x:v>Source / formula</x:v>
      </x:c>
      <x:c r="E5" s="909" t="str">
        <x:v>Evidence status</x:v>
      </x:c>
      <x:c r="F5" s="909" t="str">
        <x:v>Interpretation</x:v>
      </x:c>
    </x:row>
    <x:row r="6">
      <x:c r="A6" t="str">
        <x:v>Active national student stock</x:v>
      </x:c>
      <x:c r="B6" s="160" t="n">
        <x:f>Assumptions!$E$32</x:f>
        <x:v>311743</x:v>
      </x:c>
      <x:c r="C6" t="str">
        <x:v>students</x:v>
      </x:c>
      <x:c r="D6" t="str">
        <x:v>Assumptions!E32</x:v>
      </x:c>
      <x:c r="E6" t="str">
        <x:v>Planning proxy</x:v>
      </x:c>
      <x:c r="F6" t="str">
        <x:v>Five overlapping school-year cohorts.</x:v>
      </x:c>
    </x:row>
    <x:row r="7">
      <x:c r="A7" t="str">
        <x:v>Annual entrant / exit cohort</x:v>
      </x:c>
      <x:c r="B7" s="160" t="n">
        <x:f>Assumptions!$E$133</x:f>
        <x:v>62348.6</x:v>
      </x:c>
      <x:c r="C7" t="str">
        <x:v>people/year</x:v>
      </x:c>
      <x:c r="D7" t="str">
        <x:v>Assumptions!E133</x:v>
      </x:c>
      <x:c r="E7" t="str">
        <x:v>Calculated</x:v>
      </x:c>
      <x:c r="F7" t="str">
        <x:v>Cohort used for aligned long-run benefits.</x:v>
      </x:c>
    </x:row>
    <x:row r="8">
      <x:c r="A8" t="str">
        <x:v>Current annual participation payment per active student</x:v>
      </x:c>
      <x:c r="B8" s="160" t="n">
        <x:f>'Stage 2 - National'!$K$15/Assumptions!$E$32</x:f>
        <x:v>3900</x:v>
      </x:c>
      <x:c r="C8" t="str">
        <x:v>NZD/student/year</x:v>
      </x:c>
      <x:c r="D8" t="str">
        <x:v>Stage 2 mature participant payments ÷ active stock</x:v>
      </x:c>
      <x:c r="E8" t="str">
        <x:v>Calculated</x:v>
      </x:c>
      <x:c r="F8" t="str">
        <x:v>Immediate and Learning Capital portions combined.</x:v>
      </x:c>
    </x:row>
    <x:row r="9">
      <x:c r="A9" t="str">
        <x:v>Current mature non-payment cost per active student</x:v>
      </x:c>
      <x:c r="B9" s="160" t="n">
        <x:f>('Stage 2 - National'!$K$48-'Stage 2 - National'!$K$15)/Assumptions!$E$32</x:f>
        <x:v>995.4995912765755</x:v>
      </x:c>
      <x:c r="C9" t="str">
        <x:v>NZD/student/year</x:v>
      </x:c>
      <x:c r="D9" t="str">
        <x:v>Mature annual cost less participant payments ÷ active stock</x:v>
      </x:c>
      <x:c r="E9" t="str">
        <x:v>Calculated</x:v>
      </x:c>
      <x:c r="F9" t="str">
        <x:v>Staffing, schools, technology, evaluation and contingency.</x:v>
      </x:c>
    </x:row>
    <x:row r="10">
      <x:c r="A10" t="str">
        <x:v>Universal-core payment proportion</x:v>
      </x:c>
      <x:c r="B10" s="264" t="n">
        <x:f>Assumptions!$E$166</x:f>
        <x:v>0.5</x:v>
      </x:c>
      <x:c r="C10" t="str">
        <x:v>% of current</x:v>
      </x:c>
      <x:c r="D10" t="str">
        <x:v>Assumptions!E166</x:v>
      </x:c>
      <x:c r="E10" t="str">
        <x:v>Scenario assumption</x:v>
      </x:c>
      <x:c r="F10" t="str">
        <x:v>Lower-intensity verified support.</x:v>
      </x:c>
    </x:row>
    <x:row r="11">
      <x:c r="A11" t="str">
        <x:v>Universal-core non-payment cost proportion</x:v>
      </x:c>
      <x:c r="B11" s="264" t="n">
        <x:f>Assumptions!$E$167</x:f>
        <x:v>0.7</x:v>
      </x:c>
      <x:c r="C11" t="str">
        <x:v>% of current</x:v>
      </x:c>
      <x:c r="D11" t="str">
        <x:v>Assumptions!E167</x:v>
      </x:c>
      <x:c r="E11" t="str">
        <x:v>Scenario assumption</x:v>
      </x:c>
      <x:c r="F11" t="str">
        <x:v>Baseline pathway and mentoring system.</x:v>
      </x:c>
    </x:row>
    <x:row r="12">
      <x:c r="A12" t="str">
        <x:v>Targeted accelerator share</x:v>
      </x:c>
      <x:c r="B12" s="264" t="n">
        <x:f>Assumptions!$E$168</x:f>
        <x:v>0.2</x:v>
      </x:c>
      <x:c r="C12" t="str">
        <x:v>% of active students</x:v>
      </x:c>
      <x:c r="D12" t="str">
        <x:v>Assumptions!E168</x:v>
      </x:c>
      <x:c r="E12" t="str">
        <x:v>Scenario assumption</x:v>
      </x:c>
      <x:c r="F12" t="str">
        <x:v>Evidence-based targeting required.</x:v>
      </x:c>
    </x:row>
    <x:row r="13">
      <x:c r="A13" t="str">
        <x:v>Accelerator incremental annual cost</x:v>
      </x:c>
      <x:c r="B13" s="160" t="n">
        <x:f>Assumptions!$E$169</x:f>
        <x:v>4000</x:v>
      </x:c>
      <x:c r="C13" t="str">
        <x:v>NZD/targeted student</x:v>
      </x:c>
      <x:c r="D13" t="str">
        <x:v>Assumptions!E169</x:v>
      </x:c>
      <x:c r="E13" t="str">
        <x:v>Scenario assumption</x:v>
      </x:c>
      <x:c r="F13" t="str">
        <x:v>Additional tutoring, transport, tools and specialist support.</x:v>
      </x:c>
    </x:row>
    <x:row r="14">
      <x:c r="A14" t="str">
        <x:v>Committed pooled third-party funding</x:v>
      </x:c>
      <x:c r="B14" s="160" t="n">
        <x:f>SUM(Assumptions!$E$176,Assumptions!$E$177,Assumptions!$E$178,Assumptions!$E$179,Assumptions!$E$180)</x:f>
        <x:v>0</x:v>
      </x:c>
      <x:c r="C14" t="str">
        <x:v>NZD/year</x:v>
      </x:c>
      <x:c r="D14" t="str">
        <x:v>Sum of signed commitments</x:v>
      </x:c>
      <x:c r="E14" t="str">
        <x:v>No commitments</x:v>
      </x:c>
      <x:c r="F14" t="str">
        <x:v>Central value remains zero.</x:v>
      </x:c>
    </x:row>
    <x:row r="15">
      <x:c r="A15" t="str">
        <x:v>Potential funding sensitivity</x:v>
      </x:c>
      <x:c r="B15" s="910" t="n">
        <x:v>75000000</x:v>
      </x:c>
      <x:c r="C15" t="str">
        <x:v>NZD/year</x:v>
      </x:c>
      <x:c r="D15" t="str">
        <x:v>Illustrative only</x:v>
      </x:c>
      <x:c r="E15" t="str">
        <x:v>Not central</x:v>
      </x:c>
      <x:c r="F15" t="str">
        <x:v>Shown only to demonstrate what a signed pooled contribution could change.</x:v>
      </x:c>
    </x:row>
    <x:row r="16" ht="42" customHeight="1">
      <x:c r="A16" s="1080" t="str">
        <x:v>WARNING — The result depends materially on the unproven assumption that a lower-cost universal core combined with targeted acceleration retains a high proportion of the mature design’s high-risk effect.</x:v>
      </x:c>
      <x:c r="B16" s="1080"/>
      <x:c r="C16" s="1080"/>
      <x:c r="D16" s="1080"/>
      <x:c r="E16" s="1080"/>
      <x:c r="F16" s="1080"/>
      <x:c r="G16" s="1080"/>
      <x:c r="H16" s="1080"/>
      <x:c r="I16" s="1080"/>
      <x:c r="J16" s="1080"/>
      <x:c r="K16" s="1080"/>
      <x:c r="L16" s="1080"/>
      <x:c r="M16" s="1080"/>
      <x:c r="N16" s="1080"/>
    </x:row>
    <x:row r="18" ht="23" customHeight="1">
      <x:c r="A18" s="905" t="str">
        <x:v>Scenario cost and intensity comparison</x:v>
      </x:c>
      <x:c r="B18" s="905"/>
      <x:c r="C18" s="905"/>
      <x:c r="D18" s="905"/>
      <x:c r="E18" s="905"/>
      <x:c r="F18" s="905"/>
      <x:c r="G18" s="905"/>
      <x:c r="H18" s="905"/>
      <x:c r="I18" s="905"/>
      <x:c r="J18" s="905"/>
      <x:c r="K18" s="905"/>
      <x:c r="L18" s="905"/>
      <x:c r="M18" s="905"/>
      <x:c r="N18" s="905"/>
    </x:row>
    <x:row r="19" ht="30" customHeight="1">
      <x:c r="A19" s="909" t="str">
        <x:v>Scenario</x:v>
      </x:c>
      <x:c r="B19" s="909" t="str">
        <x:v>Scope</x:v>
      </x:c>
      <x:c r="C19" s="909" t="str">
        <x:v>Exposed people / cohort</x:v>
      </x:c>
      <x:c r="D19" s="909" t="str">
        <x:v>Targeted people</x:v>
      </x:c>
      <x:c r="E19" s="909" t="str">
        <x:v>Payment intensity</x:v>
      </x:c>
      <x:c r="F19" s="909" t="str">
        <x:v>Non-payment intensity</x:v>
      </x:c>
      <x:c r="G19" s="909" t="str">
        <x:v>Period cost</x:v>
      </x:c>
      <x:c r="H19" s="909" t="str">
        <x:v>Cost basis</x:v>
      </x:c>
      <x:c r="I19" s="909" t="str">
        <x:v>NEET benefit factor</x:v>
      </x:c>
      <x:c r="J19" s="909" t="str">
        <x:v>Earnings affected share</x:v>
      </x:c>
      <x:c r="K19" s="909" t="str">
        <x:v>Committed funding</x:v>
      </x:c>
      <x:c r="L19" s="909" t="str">
        <x:v>Crown cash cost</x:v>
      </x:c>
      <x:c r="M19" s="909" t="str">
        <x:v>Evidence status</x:v>
      </x:c>
      <x:c r="N19" s="909" t="str">
        <x:v>Decision use</x:v>
      </x:c>
    </x:row>
    <x:row r="20">
      <x:c r="A20" s="26" t="str">
        <x:v>Universal core only</x:v>
      </x:c>
      <x:c r="B20" s="26" t="str">
        <x:v>Universal verified effort, immediate support, Learning Capital, baseline mentoring and pathway tools</x:v>
      </x:c>
      <x:c r="C20" s="275" t="n">
        <x:f>B7</x:f>
        <x:v>62348.6</x:v>
      </x:c>
      <x:c r="D20" s="275" t="n">
        <x:v>0</x:v>
      </x:c>
      <x:c r="E20" s="276" t="n">
        <x:f>B10</x:f>
        <x:v>0.5</x:v>
      </x:c>
      <x:c r="F20" s="276" t="n">
        <x:f>B11</x:f>
        <x:v>0.7</x:v>
      </x:c>
      <x:c r="G20" s="308" t="n">
        <x:f>B6*(B8*B10+B9*B11)</x:f>
        <x:v>825136870.3583333</x:v>
      </x:c>
      <x:c r="H20" s="278" t="str">
        <x:v>Annual national</x:v>
      </x:c>
      <x:c r="I20" s="276" t="n">
        <x:f>Assumptions!$E$170</x:f>
        <x:v>0.5</x:v>
      </x:c>
      <x:c r="J20" s="276" t="n">
        <x:f>Assumptions!$E$172</x:f>
        <x:v>0.45</x:v>
      </x:c>
      <x:c r="K20" s="308" t="n">
        <x:f>$B$14</x:f>
        <x:v>0</x:v>
      </x:c>
      <x:c r="L20" s="308" t="n">
        <x:f>G20-K20</x:f>
        <x:v>825136870.3583333</x:v>
      </x:c>
      <x:c r="M20" s="26" t="str">
        <x:v>Scenario only</x:v>
      </x:c>
      <x:c r="N20" s="26" t="str">
        <x:v>Targeted-delivery break-even</x:v>
      </x:c>
    </x:row>
    <x:row r="21">
      <x:c r="A21" s="911" t="str">
        <x:v>Universal core plus targeted accelerator</x:v>
      </x:c>
      <x:c r="B21" s="911" t="str">
        <x:v>Universal core plus additional tutoring, transport, devices, licences, tools and intensive support</x:v>
      </x:c>
      <x:c r="C21" s="912" t="n">
        <x:f>B7</x:f>
        <x:v>62348.6</x:v>
      </x:c>
      <x:c r="D21" s="912" t="n">
        <x:f>C21*B12</x:f>
        <x:v>12469.720000000001</x:v>
      </x:c>
      <x:c r="E21" s="913" t="n">
        <x:f>B10</x:f>
        <x:v>0.5</x:v>
      </x:c>
      <x:c r="F21" s="913" t="n">
        <x:f>B11</x:f>
        <x:v>0.7</x:v>
      </x:c>
      <x:c r="G21" s="914" t="n">
        <x:f>G20+D21*B13</x:f>
        <x:v>875015750.3583333</x:v>
      </x:c>
      <x:c r="H21" s="915" t="str">
        <x:v>Annual national</x:v>
      </x:c>
      <x:c r="I21" s="913" t="n">
        <x:f>Assumptions!$E$171</x:f>
        <x:v>1</x:v>
      </x:c>
      <x:c r="J21" s="913" t="n">
        <x:f>Assumptions!$E$173</x:f>
        <x:v>0.55</x:v>
      </x:c>
      <x:c r="K21" s="914" t="n">
        <x:f>$B$14</x:f>
        <x:v>0</x:v>
      </x:c>
      <x:c r="L21" s="914" t="n">
        <x:f>G21-K21</x:f>
        <x:v>875015750.3583333</x:v>
      </x:c>
      <x:c r="M21" s="911" t="str">
        <x:v>Scenario only — retained high-risk effect unproven</x:v>
      </x:c>
      <x:c r="N21" s="911" t="str">
        <x:v>Leading testable structural scenario</x:v>
      </x:c>
    </x:row>
    <x:row r="22">
      <x:c r="A22" s="26" t="str">
        <x:v>Targeted pilot</x:v>
      </x:c>
      <x:c r="B22" s="26" t="str">
        <x:v>Bounded independently evaluated treatment cohort</x:v>
      </x:c>
      <x:c r="C22" s="275" t="n">
        <x:v>4200</x:v>
      </x:c>
      <x:c r="D22" s="275" t="n">
        <x:v>4200</x:v>
      </x:c>
      <x:c r="E22" s="276" t="n">
        <x:v>1</x:v>
      </x:c>
      <x:c r="F22" s="276" t="n">
        <x:v>1</x:v>
      </x:c>
      <x:c r="G22" s="308" t="n">
        <x:f>'Stage 1 - Pilot'!$L$56</x:f>
        <x:v>97579970.263125</x:v>
      </x:c>
      <x:c r="H22" s="278" t="str">
        <x:v>Three-year pilot</x:v>
      </x:c>
      <x:c r="I22" s="276" t="n">
        <x:v>1</x:v>
      </x:c>
      <x:c r="J22" s="276" t="n">
        <x:f>Assumptions!$E$174</x:f>
        <x:v>0.6</x:v>
      </x:c>
      <x:c r="K22" s="308" t="n">
        <x:f>0</x:f>
        <x:v>0</x:v>
      </x:c>
      <x:c r="L22" s="308" t="n">
        <x:f>G22-K22</x:f>
        <x:v>97579970.263125</x:v>
      </x:c>
      <x:c r="M22" s="26" t="str">
        <x:v>Existing pilot cost</x:v>
      </x:c>
      <x:c r="N22" s="26" t="str">
        <x:v>Causal evidence generation</x:v>
      </x:c>
    </x:row>
    <x:row r="23">
      <x:c r="A23" s="26" t="str">
        <x:v>Mature national design</x:v>
      </x:c>
      <x:c r="B23" s="26" t="str">
        <x:v>Current full national cost architecture</x:v>
      </x:c>
      <x:c r="C23" s="275" t="n">
        <x:f>B7</x:f>
        <x:v>62348.6</x:v>
      </x:c>
      <x:c r="D23" s="275" t="n">
        <x:f>C23*B12</x:f>
        <x:v>12469.720000000001</x:v>
      </x:c>
      <x:c r="E23" s="276" t="n">
        <x:v>1</x:v>
      </x:c>
      <x:c r="F23" s="276" t="n">
        <x:v>1</x:v>
      </x:c>
      <x:c r="G23" s="308" t="n">
        <x:f>'Stage 2 - National'!$K$48</x:f>
        <x:v>1526137729.0833335</x:v>
      </x:c>
      <x:c r="H23" s="278" t="str">
        <x:v>Mature annual</x:v>
      </x:c>
      <x:c r="I23" s="276" t="n">
        <x:v>1</x:v>
      </x:c>
      <x:c r="J23" s="276" t="n">
        <x:f>Assumptions!$E$175</x:f>
        <x:v>0.5</x:v>
      </x:c>
      <x:c r="K23" s="308" t="n">
        <x:f>$B$14</x:f>
        <x:v>0</x:v>
      </x:c>
      <x:c r="L23" s="308" t="n">
        <x:f>G23-K23</x:f>
        <x:v>1526137729.0833335</x:v>
      </x:c>
      <x:c r="M23" s="26" t="str">
        <x:v>Planning model</x:v>
      </x:c>
      <x:c r="N23" s="26" t="str">
        <x:v>Conditional scale comparator</x:v>
      </x:c>
    </x:row>
    <x:row r="26" ht="23" customHeight="1">
      <x:c r="A26" s="905" t="str">
        <x:v>Pooled co-investment — central model includes committed amounts only</x:v>
      </x:c>
      <x:c r="B26" s="905"/>
      <x:c r="C26" s="905"/>
      <x:c r="D26" s="905"/>
      <x:c r="E26" s="905"/>
      <x:c r="F26" s="905"/>
      <x:c r="G26" s="905"/>
      <x:c r="H26" s="905"/>
      <x:c r="I26" s="905"/>
      <x:c r="J26" s="905"/>
      <x:c r="K26" s="905"/>
      <x:c r="L26" s="905"/>
      <x:c r="M26" s="905"/>
      <x:c r="N26" s="905"/>
    </x:row>
    <x:row r="27" ht="30" customHeight="1">
      <x:c r="A27" s="909" t="str">
        <x:v>Contributor</x:v>
      </x:c>
      <x:c r="B27" s="909" t="str">
        <x:v>Committed amount</x:v>
      </x:c>
      <x:c r="C27" s="909" t="str">
        <x:v>Potential sensitivity</x:v>
      </x:c>
      <x:c r="D27" s="909" t="str">
        <x:v>Central inclusion</x:v>
      </x:c>
      <x:c r="E27" s="909" t="str">
        <x:v>Control principle</x:v>
      </x:c>
      <x:c r="F27" s="909" t="str">
        <x:v>Required evidence</x:v>
      </x:c>
      <x:c r="G27" s="909" t="str">
        <x:v>Source ID</x:v>
      </x:c>
      <x:c r="H27" s="909" t="str">
        <x:v>Status</x:v>
      </x:c>
    </x:row>
    <x:row r="28">
      <x:c r="A28" s="26" t="str">
        <x:v>Employers</x:v>
      </x:c>
      <x:c r="B28" s="916" t="n">
        <x:v>0</x:v>
      </x:c>
      <x:c r="C28" s="198" t="n">
        <x:v>25000000</x:v>
      </x:c>
      <x:c r="D28" s="26" t="str">
        <x:v>Committed only</x:v>
      </x:c>
      <x:c r="E28" s="26" t="str">
        <x:v>Pooled fund; no exclusive recruitment or service bond</x:v>
      </x:c>
      <x:c r="F28" s="26" t="str">
        <x:v>Signed contribution and governance agreement</x:v>
      </x:c>
      <x:c r="G28" s="26" t="str">
        <x:v>A21</x:v>
      </x:c>
      <x:c r="H28" s="26" t="str">
        <x:v>UNCOMMITTED</x:v>
      </x:c>
    </x:row>
    <x:row r="29">
      <x:c r="A29" s="26" t="str">
        <x:v>Sector organisations</x:v>
      </x:c>
      <x:c r="B29" s="916" t="n">
        <x:v>0</x:v>
      </x:c>
      <x:c r="C29" s="198" t="n">
        <x:v>15000000</x:v>
      </x:c>
      <x:c r="D29" s="26" t="str">
        <x:v>Committed only</x:v>
      </x:c>
      <x:c r="E29" s="26" t="str">
        <x:v>Independent labour-market forecasting; no occupation quota</x:v>
      </x:c>
      <x:c r="F29" s="26" t="str">
        <x:v>Signed contribution and published supply methodology</x:v>
      </x:c>
      <x:c r="G29" s="26" t="str">
        <x:v>A21</x:v>
      </x:c>
      <x:c r="H29" s="26" t="str">
        <x:v>UNCOMMITTED</x:v>
      </x:c>
    </x:row>
    <x:row r="30">
      <x:c r="A30" s="26" t="str">
        <x:v>Iwi entities</x:v>
      </x:c>
      <x:c r="B30" s="916" t="n">
        <x:v>0</x:v>
      </x:c>
      <x:c r="C30" s="198" t="n">
        <x:v>15000000</x:v>
      </x:c>
      <x:c r="D30" s="26" t="str">
        <x:v>Committed only</x:v>
      </x:c>
      <x:c r="E30" s="26" t="str">
        <x:v>Independent governance and student choice</x:v>
      </x:c>
      <x:c r="F30" s="26" t="str">
        <x:v>Signed contribution and rights agreement</x:v>
      </x:c>
      <x:c r="G30" s="26" t="str">
        <x:v>A21</x:v>
      </x:c>
      <x:c r="H30" s="26" t="str">
        <x:v>UNCOMMITTED</x:v>
      </x:c>
    </x:row>
    <x:row r="31">
      <x:c r="A31" s="26" t="str">
        <x:v>Philanthropic organisations</x:v>
      </x:c>
      <x:c r="B31" s="916" t="n">
        <x:v>0</x:v>
      </x:c>
      <x:c r="C31" s="198" t="n">
        <x:v>10000000</x:v>
      </x:c>
      <x:c r="D31" s="26" t="str">
        <x:v>Committed only</x:v>
      </x:c>
      <x:c r="E31" s="26" t="str">
        <x:v>No curriculum or participant control</x:v>
      </x:c>
      <x:c r="F31" s="26" t="str">
        <x:v>Signed contribution and conflict policy</x:v>
      </x:c>
      <x:c r="G31" s="26" t="str">
        <x:v>A21</x:v>
      </x:c>
      <x:c r="H31" s="26" t="str">
        <x:v>UNCOMMITTED</x:v>
      </x:c>
    </x:row>
    <x:row r="32">
      <x:c r="A32" s="26" t="str">
        <x:v>Tertiary / training providers</x:v>
      </x:c>
      <x:c r="B32" s="916" t="n">
        <x:v>0</x:v>
      </x:c>
      <x:c r="C32" s="198" t="n">
        <x:v>10000000</x:v>
      </x:c>
      <x:c r="D32" s="26" t="str">
        <x:v>Committed only</x:v>
      </x:c>
      <x:c r="E32" s="26" t="str">
        <x:v>Transferable credentials; no provider lock-in</x:v>
      </x:c>
      <x:c r="F32" s="26" t="str">
        <x:v>Signed contribution and procurement safeguards</x:v>
      </x:c>
      <x:c r="G32" s="26" t="str">
        <x:v>A21</x:v>
      </x:c>
      <x:c r="H32" s="26" t="str">
        <x:v>UNCOMMITTED</x:v>
      </x:c>
    </x:row>
    <x:row r="35" ht="23" customHeight="1">
      <x:c r="A35" s="905" t="str">
        <x:v>Industry capture and labour-market safeguards</x:v>
      </x:c>
      <x:c r="B35" s="905"/>
      <x:c r="C35" s="905"/>
      <x:c r="D35" s="905"/>
      <x:c r="E35" s="905"/>
      <x:c r="F35" s="905"/>
      <x:c r="G35" s="905"/>
      <x:c r="H35" s="905"/>
      <x:c r="I35" s="905"/>
      <x:c r="J35" s="905"/>
      <x:c r="K35" s="905"/>
      <x:c r="L35" s="905"/>
      <x:c r="M35" s="905"/>
      <x:c r="N35" s="905"/>
    </x:row>
    <x:row r="36" ht="28" customHeight="1">
      <x:c r="A36" s="921" t="str">
        <x:v>Principle</x:v>
      </x:c>
      <x:c r="B36" s="921" t="str">
        <x:v>Industry may inform and co-invest, but it does not direct individual career choices or control national training supply.</x:v>
      </x:c>
      <x:c r="C36" s="484" t="str">
        <x:v>Industry may inform and co-invest, but it does not direct individual career choices or control national training supply.</x:v>
      </x:c>
      <x:c r="D36" s="484"/>
      <x:c r="E36" s="484"/>
      <x:c r="F36" s="484"/>
      <x:c r="G36" s="484"/>
      <x:c r="H36" s="484"/>
      <x:c r="I36" s="484"/>
      <x:c r="J36" s="484"/>
      <x:c r="K36" s="484"/>
      <x:c r="L36" s="484"/>
      <x:c r="M36" s="484"/>
      <x:c r="N36" s="484"/>
    </x:row>
    <x:row r="37" ht="28" customHeight="1">
      <x:c r="A37" s="921" t="str">
        <x:v>Funding structure</x:v>
      </x:c>
      <x:c r="B37" s="921" t="str">
        <x:v>Pooled rather than employer-controlled funding; independent allocation and published conflicts.</x:v>
      </x:c>
      <x:c r="C37" s="484" t="str">
        <x:v>Pooled rather than employer-controlled funding; independent allocation and published conflicts.</x:v>
      </x:c>
      <x:c r="D37" s="484"/>
      <x:c r="E37" s="484"/>
      <x:c r="F37" s="484"/>
      <x:c r="G37" s="484"/>
      <x:c r="H37" s="484"/>
      <x:c r="I37" s="484"/>
      <x:c r="J37" s="484"/>
      <x:c r="K37" s="484"/>
      <x:c r="L37" s="484"/>
      <x:c r="M37" s="484"/>
      <x:c r="N37" s="484"/>
    </x:row>
    <x:row r="38" ht="28" customHeight="1">
      <x:c r="A38" s="921" t="str">
        <x:v>Student choice</x:v>
      </x:c>
      <x:c r="B38" s="921" t="str">
        <x:v>No exclusive recruitment access, compulsory service, occupation quota or curriculum control.</x:v>
      </x:c>
      <x:c r="C38" s="484" t="str">
        <x:v>No exclusive recruitment access, compulsory service, occupation quota or curriculum control.</x:v>
      </x:c>
      <x:c r="D38" s="484"/>
      <x:c r="E38" s="484"/>
      <x:c r="F38" s="484"/>
      <x:c r="G38" s="484"/>
      <x:c r="H38" s="484"/>
      <x:c r="I38" s="484"/>
      <x:c r="J38" s="484"/>
      <x:c r="K38" s="484"/>
      <x:c r="L38" s="484"/>
      <x:c r="M38" s="484"/>
      <x:c r="N38" s="484"/>
    </x:row>
    <x:row r="39" ht="28" customHeight="1">
      <x:c r="A39" s="921" t="str">
        <x:v>Credentials</x:v>
      </x:c>
      <x:c r="B39" s="921" t="str">
        <x:v>Credentials must be transferable between employers, sectors and regions.</x:v>
      </x:c>
      <x:c r="C39" s="484" t="str">
        <x:v>Credentials must be transferable between employers, sectors and regions.</x:v>
      </x:c>
      <x:c r="D39" s="484"/>
      <x:c r="E39" s="484"/>
      <x:c r="F39" s="484"/>
      <x:c r="G39" s="484"/>
      <x:c r="H39" s="484"/>
      <x:c r="I39" s="484"/>
      <x:c r="J39" s="484"/>
      <x:c r="K39" s="484"/>
      <x:c r="L39" s="484"/>
      <x:c r="M39" s="484"/>
      <x:c r="N39" s="484"/>
    </x:row>
    <x:row r="40" ht="28" customHeight="1">
      <x:c r="A40" s="921" t="str">
        <x:v>Labour-market evidence</x:v>
      </x:c>
      <x:c r="B40" s="921" t="str">
        <x:v>Publish wages, vacancies, completion, retention, migration and job-quality outcomes by pathway.</x:v>
      </x:c>
      <x:c r="C40" s="484" t="str">
        <x:v>Publish wages, vacancies, completion, retention, migration and job-quality outcomes by pathway.</x:v>
      </x:c>
      <x:c r="D40" s="484"/>
      <x:c r="E40" s="484"/>
      <x:c r="F40" s="484"/>
      <x:c r="G40" s="484"/>
      <x:c r="H40" s="484"/>
      <x:c r="I40" s="484"/>
      <x:c r="J40" s="484"/>
      <x:c r="K40" s="484"/>
      <x:c r="L40" s="484"/>
      <x:c r="M40" s="484"/>
      <x:c r="N40" s="484"/>
    </x:row>
    <x:row r="41" ht="28" customHeight="1">
      <x:c r="A41" s="921" t="str">
        <x:v>Worker voice</x:v>
      </x:c>
      <x:c r="B41" s="921" t="str">
        <x:v>Include worker or union representation in labour-market and training-supply governance.</x:v>
      </x:c>
      <x:c r="C41" s="484" t="str">
        <x:v>Include worker or union representation in labour-market and training-supply governance.</x:v>
      </x:c>
      <x:c r="D41" s="484"/>
      <x:c r="E41" s="484"/>
      <x:c r="F41" s="484"/>
      <x:c r="G41" s="484"/>
      <x:c r="H41" s="484"/>
      <x:c r="I41" s="484"/>
      <x:c r="J41" s="484"/>
      <x:c r="K41" s="484"/>
      <x:c r="L41" s="484"/>
      <x:c r="M41" s="484"/>
      <x:c r="N41" s="484"/>
    </x:row>
    <x:row r="42" ht="28" customHeight="1">
      <x:c r="A42" s="921" t="str">
        <x:v>Supply review</x:v>
      </x:c>
      <x:c r="B42" s="921" t="str">
        <x:v>Periodically review occupation supply, wage effects, provider capacity and automation exposure.</x:v>
      </x:c>
      <x:c r="C42" s="484" t="str">
        <x:v>Periodically review occupation supply, wage effects, provider capacity and automation exposure.</x:v>
      </x:c>
      <x:c r="D42" s="484"/>
      <x:c r="E42" s="484"/>
      <x:c r="F42" s="484"/>
      <x:c r="G42" s="484"/>
      <x:c r="H42" s="484"/>
      <x:c r="I42" s="484"/>
      <x:c r="J42" s="484"/>
      <x:c r="K42" s="484"/>
      <x:c r="L42" s="484"/>
      <x:c r="M42" s="484"/>
      <x:c r="N42" s="484"/>
    </x:row>
    <x:row r="43" ht="28" customHeight="1">
      <x:c r="A43" s="921" t="str">
        <x:v>Oversupply protection</x:v>
      </x:c>
      <x:c r="B43" s="921" t="str">
        <x:v>Suspend or redirect incentives where training supply materially exceeds credible demand.</x:v>
      </x:c>
      <x:c r="C43" s="484" t="str">
        <x:v>Suspend or redirect incentives where training supply materially exceeds credible demand.</x:v>
      </x:c>
      <x:c r="D43" s="484"/>
      <x:c r="E43" s="484"/>
      <x:c r="F43" s="484"/>
      <x:c r="G43" s="484"/>
      <x:c r="H43" s="484"/>
      <x:c r="I43" s="484"/>
      <x:c r="J43" s="484"/>
      <x:c r="K43" s="484"/>
      <x:c r="L43" s="484"/>
      <x:c r="M43" s="484"/>
      <x:c r="N43" s="484"/>
    </x:row>
    <x:row r="44" ht="28" customHeight="1">
      <x:c r="A44" s="921" t="str">
        <x:v>Employer bonds</x:v>
      </x:c>
      <x:c r="B44" s="921" t="str">
        <x:v>No employer-specific bond unless separately, voluntarily and lawfully agreed with independent advice.</x:v>
      </x:c>
      <x:c r="C44" s="484" t="str">
        <x:v>No employer-specific bond unless separately, voluntarily and lawfully agreed with independent advice.</x:v>
      </x:c>
      <x:c r="D44" s="484"/>
      <x:c r="E44" s="484"/>
      <x:c r="F44" s="484"/>
      <x:c r="G44" s="484"/>
      <x:c r="H44" s="484"/>
      <x:c r="I44" s="484"/>
      <x:c r="J44" s="484"/>
      <x:c r="K44" s="484"/>
      <x:c r="L44" s="484"/>
      <x:c r="M44" s="484"/>
      <x:c r="N44" s="484"/>
    </x:row>
    <x:row r="46">
      <x:c r="A46" s="1085" t="str">
        <x:v>Core plus targeted accelerator — retained high-risk-effect sensitivity</x:v>
      </x:c>
      <x:c r="B46" s="1085"/>
      <x:c r="C46" s="1085"/>
      <x:c r="D46" s="1085"/>
      <x:c r="E46" s="1085"/>
      <x:c r="F46" s="1085"/>
      <x:c r="G46" s="1085"/>
    </x:row>
    <x:row r="47">
      <x:c r="A47" s="1065" t="str">
        <x:v>Retained high-risk effect</x:v>
      </x:c>
      <x:c r="B47" s="1065" t="str">
        <x:v>Retained lifetime high-risk social benefit</x:v>
      </x:c>
      <x:c r="C47" s="1065" t="str">
        <x:v>Base social benefit incl. Learning Capital offset</x:v>
      </x:c>
      <x:c r="D47" s="1065" t="str">
        <x:v>2% earnings PV per 1% affected-population uplift</x:v>
      </x:c>
      <x:c r="E47" s="1065" t="str">
        <x:v>Full-expenditure social break-even uplift — 2%</x:v>
      </x:c>
      <x:c r="F47" s="1065" t="str">
        <x:v>Full-expenditure BCR at 5% uplift — 2%</x:v>
      </x:c>
      <x:c r="G47" s="1065" t="str">
        <x:v>Interpretation</x:v>
      </x:c>
    </x:row>
    <x:row r="48">
      <x:c r="A48" s="1086" t="n">
        <x:v>0.25</x:v>
      </x:c>
      <x:c r="B48" s="1087" t="n">
        <x:f>'Benefits &amp; BCR'!$C$24*A48</x:f>
        <x:v>95200092.80454522</x:v>
      </x:c>
      <x:c r="C48" s="1087" t="n">
        <x:f>B48+'Cohort Bridge'!$D$30*0.75</x:f>
        <x:v>99570865.66899408</x:v>
      </x:c>
      <x:c r="D48" s="1087" t="n">
        <x:f>(($C$21-'Benefits &amp; BCR'!$C$18*A48)*$J$21*Assumptions!$E$141*Assumptions!$E$142*Assumptions!$E$143*(1-Assumptions!$E$144)*(1-Assumptions!$E$145)*(1-Assumptions!$E$146)*Assumptions!$E$137)*'Human Capital &amp; Earnings'!$K$90</x:f>
        <x:v>219362607.33905172</x:v>
      </x:c>
      <x:c r="E48" s="1088" t="n">
        <x:f>MAX(0,($G$21-C48)/D48)*1%</x:f>
        <x:v>0.03534991191506009</x:v>
      </x:c>
      <x:c r="F48" s="1051" t="n">
        <x:f>(C48+D48*5)/$G$21</x:f>
        <x:v>1.3672712769733733</x:v>
      </x:c>
      <x:c r="G48" s="26" t="str">
        <x:v>Low retained-effect sensitivity</x:v>
      </x:c>
    </x:row>
    <x:row r="49">
      <x:c r="A49" s="1086" t="n">
        <x:v>0.5</x:v>
      </x:c>
      <x:c r="B49" s="1087" t="n">
        <x:f>'Benefits &amp; BCR'!$C$24*A49</x:f>
        <x:v>190400185.60909045</x:v>
      </x:c>
      <x:c r="C49" s="1087" t="n">
        <x:f>B49+'Cohort Bridge'!$D$30*0.75</x:f>
        <x:v>194770958.4735393</x:v>
      </x:c>
      <x:c r="D49" s="1087" t="n">
        <x:f>(($C$21-'Benefits &amp; BCR'!$C$18*A49)*$J$21*Assumptions!$E$141*Assumptions!$E$142*Assumptions!$E$143*(1-Assumptions!$E$144)*(1-Assumptions!$E$145)*(1-Assumptions!$E$146)*Assumptions!$E$137)*'Human Capital &amp; Earnings'!$K$90</x:f>
        <x:v>218121712.64008784</x:v>
      </x:c>
      <x:c r="E49" s="1088" t="n">
        <x:f>MAX(0,($G$21-C49)/D49)*1%</x:f>
        <x:v>0.031186477662003016</x:v>
      </x:c>
      <x:c r="F49" s="1051" t="n">
        <x:f>(C49+D49*5)/$G$21</x:f>
        <x:v>1.468978725408765</x:v>
      </x:c>
      <x:c r="G49" s="26" t="str">
        <x:v>Materially reduced retained effect</x:v>
      </x:c>
    </x:row>
    <x:row r="50">
      <x:c r="A50" s="1086" t="n">
        <x:v>0.75</x:v>
      </x:c>
      <x:c r="B50" s="1087" t="n">
        <x:f>'Benefits &amp; BCR'!$C$24*A50</x:f>
        <x:v>285600278.4136357</x:v>
      </x:c>
      <x:c r="C50" s="1087" t="n">
        <x:f>B50+'Cohort Bridge'!$D$30*0.75</x:f>
        <x:v>289971051.2780845</x:v>
      </x:c>
      <x:c r="D50" s="1087" t="n">
        <x:f>(($C$21-'Benefits &amp; BCR'!$C$18*A50)*$J$21*Assumptions!$E$141*Assumptions!$E$142*Assumptions!$E$143*(1-Assumptions!$E$144)*(1-Assumptions!$E$145)*(1-Assumptions!$E$146)*Assumptions!$E$137)*'Human Capital &amp; Earnings'!$K$90</x:f>
        <x:v>216880817.941124</x:v>
      </x:c>
      <x:c r="E50" s="1088" t="n">
        <x:f>MAX(0,($G$21-C50)/D50)*1%</x:f>
        <x:v>0.026975400804651578</x:v>
      </x:c>
      <x:c r="F50" s="1051" t="n">
        <x:f>(C50+D50*5)/$G$21</x:f>
        <x:v>1.5706861738441569</x:v>
      </x:c>
      <x:c r="G50" s="26" t="str">
        <x:v>High but still unproven retention</x:v>
      </x:c>
    </x:row>
    <x:row r="51">
      <x:c r="A51" s="1086" t="n">
        <x:v>1</x:v>
      </x:c>
      <x:c r="B51" s="1087" t="n">
        <x:f>'Benefits &amp; BCR'!$C$24*A51</x:f>
        <x:v>380800371.2181809</x:v>
      </x:c>
      <x:c r="C51" s="1087" t="n">
        <x:f>B51+'Cohort Bridge'!$D$30*0.75</x:f>
        <x:v>385171144.08262974</x:v>
      </x:c>
      <x:c r="D51" s="1087" t="n">
        <x:f>(($C$21-'Benefits &amp; BCR'!$C$18*A51)*$J$21*Assumptions!$E$141*Assumptions!$E$142*Assumptions!$E$143*(1-Assumptions!$E$144)*(1-Assumptions!$E$145)*(1-Assumptions!$E$146)*Assumptions!$E$137)*'Human Capital &amp; Earnings'!$K$90</x:f>
        <x:v>215639923.2421602</x:v>
      </x:c>
      <x:c r="E51" s="1088" t="n">
        <x:f>MAX(0,($G$21-C51)/D51)*1%</x:f>
        <x:v>0.022715858868379204</x:v>
      </x:c>
      <x:c r="F51" s="1051" t="n">
        <x:f>(C51+D51*5)/$G$21</x:f>
        <x:v>1.6723936222795492</x:v>
      </x:c>
      <x:c r="G51" s="26" t="str">
        <x:v>Current central structural assumption</x:v>
      </x:c>
    </x:row>
    <x:row r="52">
      <x:c r="A52" s="26"/>
      <x:c r="B52" s="26"/>
      <x:c r="C52" s="26"/>
      <x:c r="D52" s="26"/>
      <x:c r="E52" s="26"/>
      <x:c r="F52" s="26"/>
      <x:c r="G52" s="26" t="str">
        <x:v>The leading testable structural scenario is not proven, established or evidence-preferred.</x:v>
      </x:c>
    </x:row>
    <x:row r="55">
      <x:c r="A55" s="1144" t="str">
        <x:v>Universal core plus targeted accelerator — public result</x:v>
      </x:c>
      <x:c r="B55" s="1144"/>
      <x:c r="C55" s="1144"/>
      <x:c r="D55" s="1144"/>
      <x:c r="E55" s="1144"/>
      <x:c r="F55" s="1144"/>
      <x:c r="G55" s="1144"/>
      <x:c r="H55" s="1144"/>
    </x:row>
    <x:row r="56">
      <x:c r="A56" s="1164" t="str">
        <x:v>Annual cost</x:v>
      </x:c>
      <x:c r="B56" s="167" t="n">
        <x:f>G21</x:f>
        <x:v>875015750.3583333</x:v>
      </x:c>
      <x:c r="C56" s="1165" t="str">
        <x:v>Effective affected employed population</x:v>
      </x:c>
      <x:c r="D56" s="1156" t="n">
        <x:f>'Human Capital &amp; Earnings'!F110</x:f>
        <x:v>9442.238597384423</x:v>
      </x:c>
      <x:c r="E56" s="1164" t="str">
        <x:v>Affected-population social break-even — 2%</x:v>
      </x:c>
      <x:c r="F56" s="1157" t="n">
        <x:f>'Human Capital &amp; Earnings'!J110</x:f>
        <x:v>0.022715858868379204</x:v>
      </x:c>
      <x:c r="G56" s="1166" t="str">
        <x:v>Full-cohort-equivalent break-even — 2%</x:v>
      </x:c>
      <x:c r="H56" s="1157" t="n">
        <x:f>'Earnings Uplift Bridge'!H35</x:f>
        <x:v>0.004047235729803591</x:v>
      </x:c>
    </x:row>
    <x:row r="57">
      <x:c r="A57" s="1164" t="str">
        <x:v>Retained high-risk effect assumption</x:v>
      </x:c>
      <x:c r="B57" s="1154" t="n">
        <x:f>I21</x:f>
        <x:v>1</x:v>
      </x:c>
      <x:c r="C57" s="1165" t="str">
        <x:v>Evidence status</x:v>
      </x:c>
      <x:c r="D57" s="1158" t="str">
        <x:f>M21</x:f>
        <x:v>Scenario only — retained high-risk effect unproven</x:v>
      </x:c>
      <x:c r="E57" s="1167" t="str">
        <x:v>Decision use</x:v>
      </x:c>
      <x:c r="F57" s="1161" t="str">
        <x:v>Leading testable structural scenario</x:v>
      </x:c>
      <x:c r="G57" s="1161"/>
      <x:c r="H57" s="1161"/>
    </x:row>
    <x:row r="58" ht="42" customHeight="1">
      <x:c r="A58" s="1170" t="str">
        <x:v>WARNING — This scenario is financially promising because it assumes substantially lower universal cost while retaining strong high-risk effects through targeted support. That retained effect has not been demonstrated and must be tested.</x:v>
      </x:c>
      <x:c r="B58" s="1170"/>
      <x:c r="C58" s="1170"/>
      <x:c r="D58" s="1170"/>
      <x:c r="E58" s="1170"/>
      <x:c r="F58" s="1170"/>
      <x:c r="G58" s="1170"/>
      <x:c r="H58" s="1170"/>
    </x:row>
    <x:row r="59">
      <x:c r="A59"/>
      <x:c r="B59"/>
      <x:c r="C59"/>
      <x:c r="D59"/>
      <x:c r="E59"/>
      <x:c r="F59"/>
      <x:c r="G59"/>
      <x:c r="H59"/>
    </x:row>
    <x:row r="60">
      <x:c r="A60" s="1149" t="str">
        <x:v>Affected-population uplift</x:v>
      </x:c>
      <x:c r="B60" s="1149" t="str">
        <x:v>Full-expenditure BCR — 2%</x:v>
      </x:c>
      <x:c r="C60" s="1149" t="str">
        <x:v>Conventional net social ROI</x:v>
      </x:c>
      <x:c r="D60" s="1149" t="str">
        <x:v>Crown fiscal coverage — 4%</x:v>
      </x:c>
      <x:c r="E60" s="1149" t="str">
        <x:v>Net Crown fiscal ROI</x:v>
      </x:c>
      <x:c r="F60" s="1149" t="str">
        <x:v>Annual cost</x:v>
      </x:c>
      <x:c r="G60" s="1149" t="str">
        <x:v>Retained high-risk effect</x:v>
      </x:c>
      <x:c r="H60" s="1149" t="str">
        <x:v>Status</x:v>
      </x:c>
    </x:row>
    <x:row r="61">
      <x:c r="A61" s="1086" t="n">
        <x:v>0.01</x:v>
      </x:c>
      <x:c r="B61" s="593" t="n">
        <x:f>('Human Capital &amp; Earnings'!D110+'Human Capital &amp; Earnings'!G110*1)/'Human Capital &amp; Earnings'!C110</x:f>
        <x:v>0.6866288601990855</x:v>
      </x:c>
      <x:c r="C61" s="276" t="n">
        <x:f>B61-1</x:f>
        <x:v>-0.31337113980091447</x:v>
      </x:c>
      <x:c r="D61" s="276" t="n">
        <x:f>('Human Capital &amp; Earnings'!E111+'Human Capital &amp; Earnings'!I111+'Human Capital &amp; Earnings'!H111*1+'Delivery Scenarios'!K21)/'Human Capital &amp; Earnings'!C111</x:f>
        <x:v>0.24606250337599564</x:v>
      </x:c>
      <x:c r="E61" s="276" t="n">
        <x:f>D61-1</x:f>
        <x:v>-0.7539374966240043</x:v>
      </x:c>
      <x:c r="F61" s="167" t="n">
        <x:f>G21</x:f>
        <x:v>875015750.3583333</x:v>
      </x:c>
      <x:c r="G61" s="1154" t="n">
        <x:f>I21</x:f>
        <x:v>1</x:v>
      </x:c>
      <x:c r="H61" s="1161" t="str">
        <x:f>IF(B61&gt;1.05,"SOCIAL BCR ABOVE 1.00x",IF(B61&gt;=0.95,"APPROX. SOCIAL BREAK-EVEN","SOCIAL BCR BELOW 1.00x"))</x:f>
        <x:v>SOCIAL BCR BELOW 1.00x</x:v>
      </x:c>
    </x:row>
    <x:row r="62">
      <x:c r="A62" s="1086" t="n">
        <x:v>0.03</x:v>
      </x:c>
      <x:c r="B62" s="593" t="n">
        <x:f>('Human Capital &amp; Earnings'!D110+'Human Capital &amp; Earnings'!G110*3)/'Human Capital &amp; Earnings'!C110</x:f>
        <x:v>1.1795112412393174</x:v>
      </x:c>
      <x:c r="C62" s="276" t="n">
        <x:f>B62-1</x:f>
        <x:v>0.1795112412393174</x:v>
      </x:c>
      <x:c r="D62" s="276" t="n">
        <x:f>('Human Capital &amp; Earnings'!E111+'Human Capital &amp; Earnings'!I111+'Human Capital &amp; Earnings'!H111*3+'Delivery Scenarios'!K21)/'Human Capital &amp; Earnings'!C111</x:f>
        <x:v>0.3535072411235533</x:v>
      </x:c>
      <x:c r="E62" s="276" t="n">
        <x:f>D62-1</x:f>
        <x:v>-0.6464927588764466</x:v>
      </x:c>
      <x:c r="F62" s="167" t="n">
        <x:f>G21</x:f>
        <x:v>875015750.3583333</x:v>
      </x:c>
      <x:c r="G62" s="1154" t="n">
        <x:f>I21</x:f>
        <x:v>1</x:v>
      </x:c>
      <x:c r="H62" s="1161" t="str">
        <x:f>IF(B62&gt;1.05,"SOCIAL BCR ABOVE 1.00x",IF(B62&gt;=0.95,"APPROX. SOCIAL BREAK-EVEN","SOCIAL BCR BELOW 1.00x"))</x:f>
        <x:v>SOCIAL BCR ABOVE 1.00x</x:v>
      </x:c>
    </x:row>
    <x:row r="63">
      <x:c r="A63" s="1086" t="n">
        <x:v>0.05</x:v>
      </x:c>
      <x:c r="B63" s="593" t="n">
        <x:f>('Human Capital &amp; Earnings'!D110+'Human Capital &amp; Earnings'!G110*5)/'Human Capital &amp; Earnings'!C110</x:f>
        <x:v>1.6723936222795492</x:v>
      </x:c>
      <x:c r="C63" s="276" t="n">
        <x:f>B63-1</x:f>
        <x:v>0.6723936222795492</x:v>
      </x:c>
      <x:c r="D63" s="276" t="n">
        <x:f>('Human Capital &amp; Earnings'!E111+'Human Capital &amp; Earnings'!I111+'Human Capital &amp; Earnings'!H111*5+'Delivery Scenarios'!K21)/'Human Capital &amp; Earnings'!C111</x:f>
        <x:v>0.46095197887111106</x:v>
      </x:c>
      <x:c r="E63" s="276" t="n">
        <x:f>D63-1</x:f>
        <x:v>-0.5390480211288889</x:v>
      </x:c>
      <x:c r="F63" s="167" t="n">
        <x:f>G21</x:f>
        <x:v>875015750.3583333</x:v>
      </x:c>
      <x:c r="G63" s="1154" t="n">
        <x:f>I21</x:f>
        <x:v>1</x:v>
      </x:c>
      <x:c r="H63" s="1161" t="str">
        <x:f>IF(B63&gt;1.05,"SOCIAL BCR ABOVE 1.00x",IF(B63&gt;=0.95,"APPROX. SOCIAL BREAK-EVEN","SOCIAL BCR BELOW 1.00x"))</x:f>
        <x:v>SOCIAL BCR ABOVE 1.00x</x:v>
      </x:c>
    </x:row>
    <x:row r="64">
      <x:c r="A64"/>
      <x:c r="B64"/>
      <x:c r="C64"/>
      <x:c r="D64"/>
      <x:c r="E64"/>
      <x:c r="F64"/>
      <x:c r="G64"/>
      <x:c r="H64"/>
    </x:row>
  </x:sheetData>
  <x:mergeCells>
    <x:mergeCell ref="A1:N1"/>
    <x:mergeCell ref="A2:N2"/>
    <x:mergeCell ref="A4:N4"/>
    <x:mergeCell ref="A18:N18"/>
    <x:mergeCell ref="A26:N26"/>
    <x:mergeCell ref="A35:N35"/>
    <x:mergeCell ref="A36:B36"/>
    <x:mergeCell ref="C36:N36"/>
    <x:mergeCell ref="A37:B37"/>
    <x:mergeCell ref="C37:N37"/>
    <x:mergeCell ref="A38:B38"/>
    <x:mergeCell ref="C38:N38"/>
    <x:mergeCell ref="A39:B39"/>
    <x:mergeCell ref="C39:N39"/>
    <x:mergeCell ref="A40:B40"/>
    <x:mergeCell ref="C40:N40"/>
    <x:mergeCell ref="A41:B41"/>
    <x:mergeCell ref="C41:N41"/>
    <x:mergeCell ref="A42:B42"/>
    <x:mergeCell ref="C42:N42"/>
    <x:mergeCell ref="A43:B43"/>
    <x:mergeCell ref="C43:N43"/>
    <x:mergeCell ref="A44:B44"/>
    <x:mergeCell ref="C44:N44"/>
    <x:mergeCell ref="A16:N16"/>
    <x:mergeCell ref="A46:G46"/>
    <x:mergeCell ref="A55:H55"/>
    <x:mergeCell ref="F57:H57"/>
    <x:mergeCell ref="A58:H58"/>
  </x:mergeCells>
  <x:conditionalFormatting sqref="B61:B63">
    <x:cfRule type="cellIs" dxfId="8" priority="1" operator="greaterThan">
      <x:formula>1.05</x:formula>
    </x:cfRule>
    <x:cfRule type="cellIs" dxfId="9" priority="2" operator="between">
      <x:formula>0.95</x:formula>
      <x:formula>1.05</x:formula>
    </x:cfRule>
    <x:cfRule type="cellIs" dxfId="10" priority="3" operator="lessThan">
      <x:formula>0.95</x:formula>
    </x:cfRule>
  </x:conditionalFormatting>
  <x:conditionalFormatting sqref="C61:C63">
    <x:cfRule type="cellIs" dxfId="11" priority="4" operator="greaterThan">
      <x:formula>0</x:formula>
    </x:cfRule>
    <x:cfRule type="cellIs" dxfId="12" priority="5" operator="lessThan">
      <x:formula>0</x:formula>
    </x:cfRule>
  </x:conditionalFormatting>
  <x:conditionalFormatting sqref="D61:D63">
    <x:cfRule type="cellIs" dxfId="13" priority="6" operator="greaterThanOrEqual">
      <x:formula>1</x:formula>
    </x:cfRule>
    <x:cfRule type="cellIs" dxfId="14" priority="7" operator="lessThan">
      <x:formula>1</x:formula>
    </x:cfRule>
  </x:conditionalFormatting>
  <x:conditionalFormatting sqref="E61:E63">
    <x:cfRule type="cellIs" dxfId="15" priority="8" operator="greaterThan">
      <x:formula>0</x:formula>
    </x:cfRule>
    <x:cfRule type="cellIs" dxfId="16" priority="9" operator="lessThan">
      <x:formula>0</x:formula>
    </x:cfRule>
  </x:conditionalFormatting>
  <x:pageMargins left="0.7" right="0.7" top="0.75" bottom="0.75" header="0.3" footer="0.3"/>
</x:worksheet>
</file>

<file path=xl/worksheets/sheet18.xml><?xml version="1.0" encoding="utf-8"?>
<x:worksheet xmlns:x="http://schemas.openxmlformats.org/spreadsheetml/2006/main">
  <x:sheetFormatPr defaultRowHeight="15"/>
  <x:cols>
    <x:col min="1" max="1" width="42"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34" hidden="0" customWidth="1"/>
    <x:col min="9" max="9" width="34" hidden="0" customWidth="1"/>
    <x:col min="10" max="10" width="13" hidden="0" customWidth="1"/>
    <x:col min="11" max="11" width="13" hidden="0" customWidth="1"/>
    <x:col min="12" max="12" width="13" hidden="0" customWidth="1"/>
    <x:col min="13" max="13" width="15" hidden="0" customWidth="1"/>
    <x:col min="14" max="14" width="15" hidden="0" customWidth="1"/>
    <x:col min="15" max="15" width="17" hidden="0" customWidth="1"/>
    <x:col min="16" max="16" width="17" hidden="0" customWidth="1"/>
    <x:col min="17" max="17" width="17" hidden="0" customWidth="1"/>
    <x:col min="18" max="18" width="28" hidden="0" customWidth="1"/>
    <x:col min="19" max="19" width="28" hidden="0" customWidth="1"/>
  </x:cols>
  <x:sheetData>
    <x:row r="1" ht="30" customHeight="1">
      <x:c r="A1" s="960" t="str">
        <x:v>Human Capital &amp; Earnings</x:v>
      </x:c>
      <x:c r="B1" s="960"/>
      <x:c r="C1" s="960"/>
      <x:c r="D1" s="960"/>
      <x:c r="E1" s="960"/>
      <x:c r="F1" s="960"/>
      <x:c r="G1" s="960"/>
      <x:c r="H1" s="960"/>
      <x:c r="I1" s="960"/>
      <x:c r="J1" s="960"/>
      <x:c r="K1" s="960"/>
      <x:c r="L1" s="960"/>
      <x:c r="M1" s="960"/>
      <x:c r="N1" s="960"/>
      <x:c r="O1" s="960"/>
      <x:c r="P1" s="960"/>
      <x:c r="Q1" s="960"/>
      <x:c r="R1" s="960"/>
      <x:c r="S1" s="960"/>
    </x:row>
    <x:row r="2" ht="28" customHeight="1">
      <x:c r="A2" s="901" t="str">
        <x:v>The model separates whole-cohort capability and earnings gains, high-risk disengagement outcomes, and Learning Capital / fiscal offsets. No programme effect is assumed to be proven.</x:v>
      </x:c>
      <x:c r="B2" s="901"/>
      <x:c r="C2" s="901"/>
      <x:c r="D2" s="901"/>
      <x:c r="E2" s="901"/>
      <x:c r="F2" s="901"/>
      <x:c r="G2" s="901"/>
      <x:c r="H2" s="901"/>
      <x:c r="I2" s="901"/>
      <x:c r="J2" s="901"/>
      <x:c r="K2" s="901"/>
      <x:c r="L2" s="901"/>
      <x:c r="M2" s="901"/>
      <x:c r="N2" s="901"/>
      <x:c r="O2" s="901"/>
      <x:c r="P2" s="901"/>
      <x:c r="Q2" s="901"/>
      <x:c r="R2" s="901"/>
      <x:c r="S2" s="901"/>
    </x:row>
    <x:row r="3">
      <x:c r="A3" s="26"/>
      <x:c r="B3" s="26"/>
      <x:c r="C3" s="26"/>
      <x:c r="D3" s="26"/>
      <x:c r="E3" s="26"/>
      <x:c r="F3" s="26"/>
      <x:c r="G3" s="26"/>
      <x:c r="H3" s="26"/>
      <x:c r="I3" s="26"/>
      <x:c r="J3" s="26"/>
      <x:c r="K3" s="26"/>
      <x:c r="L3" s="26"/>
      <x:c r="M3" s="26"/>
      <x:c r="N3" s="26"/>
      <x:c r="O3" s="26"/>
      <x:c r="P3" s="26"/>
      <x:c r="Q3" s="26"/>
      <x:c r="R3" s="26"/>
      <x:c r="S3" s="26"/>
    </x:row>
    <x:row r="4" ht="23" customHeight="1">
      <x:c r="A4" s="905" t="str">
        <x:v>Outcome pathway — mechanism indicators are not separately monetised in the central BCR</x:v>
      </x:c>
      <x:c r="B4" s="905"/>
      <x:c r="C4" s="905"/>
      <x:c r="D4" s="905"/>
      <x:c r="E4" s="905"/>
      <x:c r="F4" s="905"/>
      <x:c r="G4" s="905"/>
      <x:c r="H4" s="905"/>
      <x:c r="I4" s="905"/>
      <x:c r="J4" s="905"/>
      <x:c r="K4" s="905"/>
      <x:c r="L4" s="905"/>
      <x:c r="M4" s="905"/>
      <x:c r="N4" s="905"/>
      <x:c r="O4" s="905"/>
      <x:c r="P4" s="905"/>
      <x:c r="Q4" s="905"/>
      <x:c r="R4" s="905"/>
      <x:c r="S4" s="905"/>
    </x:row>
    <x:row r="5" ht="30" customHeight="1">
      <x:c r="A5" s="909" t="str">
        <x:v>Outcome</x:v>
      </x:c>
      <x:c r="B5" s="909" t="str">
        <x:v>Exposed-population basis</x:v>
      </x:c>
      <x:c r="C5" s="909" t="str">
        <x:v>Counterfactual rate</x:v>
      </x:c>
      <x:c r="D5" s="909" t="str">
        <x:v>Low programme effect</x:v>
      </x:c>
      <x:c r="E5" s="909" t="str">
        <x:v>Central programme effect</x:v>
      </x:c>
      <x:c r="F5" s="909" t="str">
        <x:v>High programme effect</x:v>
      </x:c>
      <x:c r="G5" s="909" t="str">
        <x:v>Persistence</x:v>
      </x:c>
      <x:c r="H5" s="909" t="str">
        <x:v>Timing after school</x:v>
      </x:c>
      <x:c r="I5" s="909" t="str">
        <x:v>Duration</x:v>
      </x:c>
      <x:c r="J5" s="909" t="str">
        <x:v>Attribution</x:v>
      </x:c>
      <x:c r="K5" s="909" t="str">
        <x:v>Deadweight</x:v>
      </x:c>
      <x:c r="L5" s="909" t="str">
        <x:v>Displacement</x:v>
      </x:c>
      <x:c r="M5" s="909" t="str">
        <x:v>Overlap adjustment</x:v>
      </x:c>
      <x:c r="N5" s="909" t="str">
        <x:v>Source ID</x:v>
      </x:c>
      <x:c r="O5" s="909" t="str">
        <x:v>Confidence</x:v>
      </x:c>
      <x:c r="P5" s="909" t="str">
        <x:v>Low additional outcomes</x:v>
      </x:c>
      <x:c r="Q5" s="909" t="str">
        <x:v>Central additional outcomes</x:v>
      </x:c>
      <x:c r="R5" s="909" t="str">
        <x:v>High additional outcomes</x:v>
      </x:c>
      <x:c r="S5" s="909" t="str">
        <x:v>Monetisation treatment</x:v>
      </x:c>
    </x:row>
    <x:row r="6">
      <x:c r="A6" s="26" t="str">
        <x:v>Regular attendance</x:v>
      </x:c>
      <x:c r="B6" s="26" t="str">
        <x:v>Annual entrant cohort</x:v>
      </x:c>
      <x:c r="C6" s="925" t="n">
        <x:v>0.688</x:v>
      </x:c>
      <x:c r="D6" s="925" t="n">
        <x:v>0.01</x:v>
      </x:c>
      <x:c r="E6" s="925" t="n">
        <x:v>0.02</x:v>
      </x:c>
      <x:c r="F6" s="925" t="n">
        <x:v>0.04</x:v>
      </x:c>
      <x:c r="G6" s="925" t="n">
        <x:v>0.75</x:v>
      </x:c>
      <x:c r="H6" s="926" t="n">
        <x:v>0</x:v>
      </x:c>
      <x:c r="I6" s="926" t="n">
        <x:v>1</x:v>
      </x:c>
      <x:c r="J6" s="925" t="n">
        <x:v>0.6</x:v>
      </x:c>
      <x:c r="K6" s="925" t="n">
        <x:v>0.2</x:v>
      </x:c>
      <x:c r="L6" s="925" t="n">
        <x:v>0</x:v>
      </x:c>
      <x:c r="M6" s="925" t="n">
        <x:v>0.25</x:v>
      </x:c>
      <x:c r="N6" s="26" t="str">
        <x:v>S35</x:v>
      </x:c>
      <x:c r="O6" s="26" t="str">
        <x:v>Medium</x:v>
      </x:c>
      <x:c r="P6" s="590" t="n">
        <x:f>Assumptions!$E$133*D6*G6*J6*(1-K6)*(1-L6)*(1-M6)</x:f>
        <x:v>168.34122</x:v>
      </x:c>
      <x:c r="Q6" s="590" t="n">
        <x:f>Assumptions!$E$133*E6*G6*J6*(1-K6)*(1-L6)*(1-M6)</x:f>
        <x:v>336.68244</x:v>
      </x:c>
      <x:c r="R6" s="590" t="n">
        <x:f>Assumptions!$E$133*F6*G6*J6*(1-K6)*(1-L6)*(1-M6)</x:f>
        <x:v>673.36488</x:v>
      </x:c>
      <x:c r="S6" s="26" t="str">
        <x:v>Mechanism only</x:v>
      </x:c>
    </x:row>
    <x:row r="7">
      <x:c r="A7" s="26" t="str">
        <x:v>NCEA Level 2 or equivalent</x:v>
      </x:c>
      <x:c r="B7" s="26" t="str">
        <x:v>Annual entrant cohort</x:v>
      </x:c>
      <x:c r="C7" s="925" t="n">
        <x:v>0.778</x:v>
      </x:c>
      <x:c r="D7" s="925" t="n">
        <x:v>0.005</x:v>
      </x:c>
      <x:c r="E7" s="925" t="n">
        <x:v>0.015</x:v>
      </x:c>
      <x:c r="F7" s="925" t="n">
        <x:v>0.03</x:v>
      </x:c>
      <x:c r="G7" s="925" t="n">
        <x:v>0.8</x:v>
      </x:c>
      <x:c r="H7" s="926" t="n">
        <x:v>2</x:v>
      </x:c>
      <x:c r="I7" s="926" t="n">
        <x:v>1</x:v>
      </x:c>
      <x:c r="J7" s="925" t="n">
        <x:v>0.6</x:v>
      </x:c>
      <x:c r="K7" s="925" t="n">
        <x:v>0.2</x:v>
      </x:c>
      <x:c r="L7" s="925" t="n">
        <x:v>0.05</x:v>
      </x:c>
      <x:c r="M7" s="925" t="n">
        <x:v>0.3</x:v>
      </x:c>
      <x:c r="N7" s="26" t="str">
        <x:v>S36;S37</x:v>
      </x:c>
      <x:c r="O7" s="26" t="str">
        <x:v>Low-Medium</x:v>
      </x:c>
      <x:c r="P7" s="590" t="n">
        <x:f>Assumptions!$E$133*D7*G7*J7*(1-K7)*(1-L7)*(1-M7)</x:f>
        <x:v>79.60669247999999</x:v>
      </x:c>
      <x:c r="Q7" s="590" t="n">
        <x:f>Assumptions!$E$133*E7*G7*J7*(1-K7)*(1-L7)*(1-M7)</x:f>
        <x:v>238.82007743999998</x:v>
      </x:c>
      <x:c r="R7" s="590" t="n">
        <x:f>Assumptions!$E$133*F7*G7*J7*(1-K7)*(1-L7)*(1-M7)</x:f>
        <x:v>477.64015487999995</x:v>
      </x:c>
      <x:c r="S7" s="26" t="str">
        <x:v>Mechanism only</x:v>
      </x:c>
    </x:row>
    <x:row r="8">
      <x:c r="A8" s="26" t="str">
        <x:v>NCEA Level 3 or equivalent</x:v>
      </x:c>
      <x:c r="B8" s="26" t="str">
        <x:v>Annual entrant cohort</x:v>
      </x:c>
      <x:c r="C8" s="925" t="n">
        <x:v>0.59</x:v>
      </x:c>
      <x:c r="D8" s="925" t="n">
        <x:v>0.0025</x:v>
      </x:c>
      <x:c r="E8" s="925" t="n">
        <x:v>0.01</x:v>
      </x:c>
      <x:c r="F8" s="925" t="n">
        <x:v>0.02</x:v>
      </x:c>
      <x:c r="G8" s="925" t="n">
        <x:v>0.8</x:v>
      </x:c>
      <x:c r="H8" s="926" t="n">
        <x:v>2</x:v>
      </x:c>
      <x:c r="I8" s="926" t="n">
        <x:v>1</x:v>
      </x:c>
      <x:c r="J8" s="925" t="n">
        <x:v>0.55</x:v>
      </x:c>
      <x:c r="K8" s="925" t="n">
        <x:v>0.2</x:v>
      </x:c>
      <x:c r="L8" s="925" t="n">
        <x:v>0.05</x:v>
      </x:c>
      <x:c r="M8" s="925" t="n">
        <x:v>0.3</x:v>
      </x:c>
      <x:c r="N8" s="26" t="str">
        <x:v>S36</x:v>
      </x:c>
      <x:c r="O8" s="26" t="str">
        <x:v>Low</x:v>
      </x:c>
      <x:c r="P8" s="590" t="n">
        <x:f>Assumptions!$E$133*D8*G8*J8*(1-K8)*(1-L8)*(1-M8)</x:f>
        <x:v>36.486400720000006</x:v>
      </x:c>
      <x:c r="Q8" s="590" t="n">
        <x:f>Assumptions!$E$133*E8*G8*J8*(1-K8)*(1-L8)*(1-M8)</x:f>
        <x:v>145.94560288000002</x:v>
      </x:c>
      <x:c r="R8" s="590" t="n">
        <x:f>Assumptions!$E$133*F8*G8*J8*(1-K8)*(1-L8)*(1-M8)</x:f>
        <x:v>291.89120576000005</x:v>
      </x:c>
      <x:c r="S8" s="26" t="str">
        <x:v>Mechanism only</x:v>
      </x:c>
    </x:row>
    <x:row r="9">
      <x:c r="A9" s="26" t="str">
        <x:v>Apprenticeship / vocational entry</x:v>
      </x:c>
      <x:c r="B9" s="26" t="str">
        <x:v>Annual entrant cohort</x:v>
      </x:c>
      <x:c r="C9" s="925" t="n">
        <x:v>0.12</x:v>
      </x:c>
      <x:c r="D9" s="925" t="n">
        <x:v>0.0025</x:v>
      </x:c>
      <x:c r="E9" s="925" t="n">
        <x:v>0.0075</x:v>
      </x:c>
      <x:c r="F9" s="925" t="n">
        <x:v>0.015</x:v>
      </x:c>
      <x:c r="G9" s="925" t="n">
        <x:v>0.8</x:v>
      </x:c>
      <x:c r="H9" s="926" t="n">
        <x:v>3</x:v>
      </x:c>
      <x:c r="I9" s="926" t="n">
        <x:v>1</x:v>
      </x:c>
      <x:c r="J9" s="925" t="n">
        <x:v>0.5</x:v>
      </x:c>
      <x:c r="K9" s="925" t="n">
        <x:v>0.25</x:v>
      </x:c>
      <x:c r="L9" s="925" t="n">
        <x:v>0.1</x:v>
      </x:c>
      <x:c r="M9" s="925" t="n">
        <x:v>0.35</x:v>
      </x:c>
      <x:c r="N9" s="26" t="str">
        <x:v>S38;S39</x:v>
      </x:c>
      <x:c r="O9" s="26" t="str">
        <x:v>Low</x:v>
      </x:c>
      <x:c r="P9" s="590" t="n">
        <x:f>Assumptions!$E$133*D9*G9*J9*(1-K9)*(1-L9)*(1-M9)</x:f>
        <x:v>27.355448250000006</x:v>
      </x:c>
      <x:c r="Q9" s="590" t="n">
        <x:f>Assumptions!$E$133*E9*G9*J9*(1-K9)*(1-L9)*(1-M9)</x:f>
        <x:v>82.06634475</x:v>
      </x:c>
      <x:c r="R9" s="590" t="n">
        <x:f>Assumptions!$E$133*F9*G9*J9*(1-K9)*(1-L9)*(1-M9)</x:f>
        <x:v>164.1326895</x:v>
      </x:c>
      <x:c r="S9" s="26" t="str">
        <x:v>Mechanism only</x:v>
      </x:c>
    </x:row>
    <x:row r="10">
      <x:c r="A10" s="26" t="str">
        <x:v>Apprenticeship completion</x:v>
      </x:c>
      <x:c r="B10" s="26" t="str">
        <x:v>Counterfactual apprenticeship entrants</x:v>
      </x:c>
      <x:c r="C10" s="925" t="n">
        <x:v>0.4</x:v>
      </x:c>
      <x:c r="D10" s="925" t="n">
        <x:v>0.01</x:v>
      </x:c>
      <x:c r="E10" s="925" t="n">
        <x:v>0.03</x:v>
      </x:c>
      <x:c r="F10" s="925" t="n">
        <x:v>0.06</x:v>
      </x:c>
      <x:c r="G10" s="925" t="n">
        <x:v>0.85</x:v>
      </x:c>
      <x:c r="H10" s="926" t="n">
        <x:v>8</x:v>
      </x:c>
      <x:c r="I10" s="926" t="n">
        <x:v>1</x:v>
      </x:c>
      <x:c r="J10" s="925" t="n">
        <x:v>0.5</x:v>
      </x:c>
      <x:c r="K10" s="925" t="n">
        <x:v>0.25</x:v>
      </x:c>
      <x:c r="L10" s="925" t="n">
        <x:v>0.1</x:v>
      </x:c>
      <x:c r="M10" s="925" t="n">
        <x:v>0.35</x:v>
      </x:c>
      <x:c r="N10" s="26" t="str">
        <x:v>S38</x:v>
      </x:c>
      <x:c r="O10" s="26" t="str">
        <x:v>Low</x:v>
      </x:c>
      <x:c r="P10" s="590" t="n">
        <x:f>Assumptions!$E$133*C9*D10*G10*J10*(1-K10)*(1-L10)*(1-M10)</x:f>
        <x:v>13.951278607499999</x:v>
      </x:c>
      <x:c r="Q10" s="590" t="n">
        <x:f>Assumptions!$E$133*C9*E10*G10*J10*(1-K10)*(1-L10)*(1-M10)</x:f>
        <x:v>41.853835822499995</x:v>
      </x:c>
      <x:c r="R10" s="590" t="n">
        <x:f>Assumptions!$E$133*C9*F10*G10*J10*(1-K10)*(1-L10)*(1-M10)</x:f>
        <x:v>83.70767164499999</x:v>
      </x:c>
      <x:c r="S10" s="26" t="str">
        <x:v>Mechanism only</x:v>
      </x:c>
    </x:row>
    <x:row r="11">
      <x:c r="A11" s="26" t="str">
        <x:v>Tertiary entry</x:v>
      </x:c>
      <x:c r="B11" s="26" t="str">
        <x:v>Annual entrant cohort</x:v>
      </x:c>
      <x:c r="C11" s="925" t="n">
        <x:v>0.45</x:v>
      </x:c>
      <x:c r="D11" s="925" t="n">
        <x:v>0.005</x:v>
      </x:c>
      <x:c r="E11" s="925" t="n">
        <x:v>0.015</x:v>
      </x:c>
      <x:c r="F11" s="925" t="n">
        <x:v>0.03</x:v>
      </x:c>
      <x:c r="G11" s="925" t="n">
        <x:v>0.8</x:v>
      </x:c>
      <x:c r="H11" s="926" t="n">
        <x:v>3</x:v>
      </x:c>
      <x:c r="I11" s="926" t="n">
        <x:v>1</x:v>
      </x:c>
      <x:c r="J11" s="925" t="n">
        <x:v>0.5</x:v>
      </x:c>
      <x:c r="K11" s="925" t="n">
        <x:v>0.25</x:v>
      </x:c>
      <x:c r="L11" s="925" t="n">
        <x:v>0.1</x:v>
      </x:c>
      <x:c r="M11" s="925" t="n">
        <x:v>0.35</x:v>
      </x:c>
      <x:c r="N11" s="26" t="str">
        <x:v>S39</x:v>
      </x:c>
      <x:c r="O11" s="26" t="str">
        <x:v>Low</x:v>
      </x:c>
      <x:c r="P11" s="590" t="n">
        <x:f>Assumptions!$E$133*D11*G11*J11*(1-K11)*(1-L11)*(1-M11)</x:f>
        <x:v>54.71089650000001</x:v>
      </x:c>
      <x:c r="Q11" s="590" t="n">
        <x:f>Assumptions!$E$133*E11*G11*J11*(1-K11)*(1-L11)*(1-M11)</x:f>
        <x:v>164.1326895</x:v>
      </x:c>
      <x:c r="R11" s="590" t="n">
        <x:f>Assumptions!$E$133*F11*G11*J11*(1-K11)*(1-L11)*(1-M11)</x:f>
        <x:v>328.265379</x:v>
      </x:c>
      <x:c r="S11" s="26" t="str">
        <x:v>Mechanism only</x:v>
      </x:c>
    </x:row>
    <x:row r="12">
      <x:c r="A12" s="26" t="str">
        <x:v>Tertiary qualification completion</x:v>
      </x:c>
      <x:c r="B12" s="26" t="str">
        <x:v>Counterfactual tertiary entrants</x:v>
      </x:c>
      <x:c r="C12" s="925" t="n">
        <x:v>0.6</x:v>
      </x:c>
      <x:c r="D12" s="925" t="n">
        <x:v>0.005</x:v>
      </x:c>
      <x:c r="E12" s="925" t="n">
        <x:v>0.015</x:v>
      </x:c>
      <x:c r="F12" s="925" t="n">
        <x:v>0.03</x:v>
      </x:c>
      <x:c r="G12" s="925" t="n">
        <x:v>0.85</x:v>
      </x:c>
      <x:c r="H12" s="926" t="n">
        <x:v>7</x:v>
      </x:c>
      <x:c r="I12" s="926" t="n">
        <x:v>1</x:v>
      </x:c>
      <x:c r="J12" s="925" t="n">
        <x:v>0.5</x:v>
      </x:c>
      <x:c r="K12" s="925" t="n">
        <x:v>0.25</x:v>
      </x:c>
      <x:c r="L12" s="925" t="n">
        <x:v>0.1</x:v>
      </x:c>
      <x:c r="M12" s="925" t="n">
        <x:v>0.35</x:v>
      </x:c>
      <x:c r="N12" s="26" t="str">
        <x:v>S40;S45</x:v>
      </x:c>
      <x:c r="O12" s="26" t="str">
        <x:v>Low</x:v>
      </x:c>
      <x:c r="P12" s="590" t="n">
        <x:f>Assumptions!$E$133*C11*D12*G12*J12*(1-K12)*(1-L12)*(1-M12)</x:f>
        <x:v>26.158647389062498</x:v>
      </x:c>
      <x:c r="Q12" s="590" t="n">
        <x:f>Assumptions!$E$133*C11*E12*G12*J12*(1-K12)*(1-L12)*(1-M12)</x:f>
        <x:v>78.47594216718751</x:v>
      </x:c>
      <x:c r="R12" s="590" t="n">
        <x:f>Assumptions!$E$133*C11*F12*G12*J12*(1-K12)*(1-L12)*(1-M12)</x:f>
        <x:v>156.95188433437502</x:v>
      </x:c>
      <x:c r="S12" s="26" t="str">
        <x:v>Mechanism only</x:v>
      </x:c>
    </x:row>
    <x:row r="13">
      <x:c r="A13" s="26" t="str">
        <x:v>Employment entry</x:v>
      </x:c>
      <x:c r="B13" s="26" t="str">
        <x:v>Counterfactual vocational and tertiary entrants</x:v>
      </x:c>
      <x:c r="C13" s="925" t="n">
        <x:v>0.8</x:v>
      </x:c>
      <x:c r="D13" s="925" t="n">
        <x:v>0.005</x:v>
      </x:c>
      <x:c r="E13" s="925" t="n">
        <x:v>0.01</x:v>
      </x:c>
      <x:c r="F13" s="925" t="n">
        <x:v>0.02</x:v>
      </x:c>
      <x:c r="G13" s="925" t="n">
        <x:v>0.85</x:v>
      </x:c>
      <x:c r="H13" s="926" t="n">
        <x:v>4</x:v>
      </x:c>
      <x:c r="I13" s="926" t="n">
        <x:v>1</x:v>
      </x:c>
      <x:c r="J13" s="925" t="n">
        <x:v>0.5</x:v>
      </x:c>
      <x:c r="K13" s="925" t="n">
        <x:v>0.2</x:v>
      </x:c>
      <x:c r="L13" s="925" t="n">
        <x:v>0.1</x:v>
      </x:c>
      <x:c r="M13" s="925" t="n">
        <x:v>0.35</x:v>
      </x:c>
      <x:c r="N13" s="26" t="str">
        <x:v>S39</x:v>
      </x:c>
      <x:c r="O13" s="26" t="str">
        <x:v>Low</x:v>
      </x:c>
      <x:c r="P13" s="590" t="n">
        <x:f>Assumptions!$E$133*(C9+C11)*D13*G13*J13*(1-K13)*(1-L13)*(1-M13)</x:f>
        <x:v>35.34323913900001</x:v>
      </x:c>
      <x:c r="Q13" s="590" t="n">
        <x:f>Assumptions!$E$133*(C9+C11)*E13*G13*J13*(1-K13)*(1-L13)*(1-M13)</x:f>
        <x:v>70.68647827800002</x:v>
      </x:c>
      <x:c r="R13" s="590" t="n">
        <x:f>Assumptions!$E$133*(C9+C11)*F13*G13*J13*(1-K13)*(1-L13)*(1-M13)</x:f>
        <x:v>141.37295655600005</x:v>
      </x:c>
      <x:c r="S13" s="26" t="str">
        <x:v>Mechanism only</x:v>
      </x:c>
    </x:row>
    <x:row r="14">
      <x:c r="A14" s="26" t="str">
        <x:v>Employment continuity</x:v>
      </x:c>
      <x:c r="B14" s="26" t="str">
        <x:v>Counterfactual employed entrants</x:v>
      </x:c>
      <x:c r="C14" s="925" t="n">
        <x:v>0.85</x:v>
      </x:c>
      <x:c r="D14" s="925" t="n">
        <x:v>0.005</x:v>
      </x:c>
      <x:c r="E14" s="925" t="n">
        <x:v>0.01</x:v>
      </x:c>
      <x:c r="F14" s="925" t="n">
        <x:v>0.02</x:v>
      </x:c>
      <x:c r="G14" s="925" t="n">
        <x:v>0.85</x:v>
      </x:c>
      <x:c r="H14" s="926" t="n">
        <x:v>6</x:v>
      </x:c>
      <x:c r="I14" s="926" t="n">
        <x:v>3</x:v>
      </x:c>
      <x:c r="J14" s="925" t="n">
        <x:v>0.5</x:v>
      </x:c>
      <x:c r="K14" s="925" t="n">
        <x:v>0.2</x:v>
      </x:c>
      <x:c r="L14" s="925" t="n">
        <x:v>0.1</x:v>
      </x:c>
      <x:c r="M14" s="925" t="n">
        <x:v>0.35</x:v>
      </x:c>
      <x:c r="N14" s="26" t="str">
        <x:v>S39;S41</x:v>
      </x:c>
      <x:c r="O14" s="26" t="str">
        <x:v>Low</x:v>
      </x:c>
      <x:c r="P14" s="590" t="n">
        <x:f>Assumptions!$E$133*(C9+C11)*C13*D14*G14*J14*(1-K14)*(1-L14)*(1-M14)</x:f>
        <x:v>28.274591311200012</x:v>
      </x:c>
      <x:c r="Q14" s="590" t="n">
        <x:f>Assumptions!$E$133*(C9+C11)*C13*E14*G14*J14*(1-K14)*(1-L14)*(1-M14)</x:f>
        <x:v>56.549182622400025</x:v>
      </x:c>
      <x:c r="R14" s="590" t="n">
        <x:f>Assumptions!$E$133*(C9+C11)*C13*F14*G14*J14*(1-K14)*(1-L14)*(1-M14)</x:f>
        <x:v>113.09836524480005</x:v>
      </x:c>
      <x:c r="S14" s="26" t="str">
        <x:v>Mechanism only</x:v>
      </x:c>
    </x:row>
    <x:row r="15">
      <x:c r="A15" s="26"/>
      <x:c r="B15" s="26"/>
      <x:c r="C15" s="26"/>
      <x:c r="D15" s="26"/>
      <x:c r="E15" s="26"/>
      <x:c r="F15" s="26"/>
      <x:c r="G15" s="26"/>
      <x:c r="H15" s="26"/>
      <x:c r="I15" s="26"/>
      <x:c r="J15" s="26"/>
      <x:c r="K15" s="26"/>
      <x:c r="L15" s="26"/>
      <x:c r="M15" s="26"/>
      <x:c r="N15" s="26"/>
      <x:c r="O15" s="26"/>
      <x:c r="P15" s="26"/>
      <x:c r="Q15" s="26"/>
      <x:c r="R15" s="26"/>
      <x:c r="S15" s="26"/>
    </x:row>
    <x:row r="16">
      <x:c r="A16" s="26"/>
      <x:c r="B16" s="26"/>
      <x:c r="C16" s="26"/>
      <x:c r="D16" s="26"/>
      <x:c r="E16" s="26"/>
      <x:c r="F16" s="26"/>
      <x:c r="G16" s="26"/>
      <x:c r="H16" s="26"/>
      <x:c r="I16" s="26"/>
      <x:c r="J16" s="26"/>
      <x:c r="K16" s="26"/>
      <x:c r="L16" s="26"/>
      <x:c r="M16" s="26"/>
      <x:c r="N16" s="26"/>
      <x:c r="O16" s="26"/>
      <x:c r="P16" s="26"/>
      <x:c r="Q16" s="26"/>
      <x:c r="R16" s="26"/>
      <x:c r="S16" s="26"/>
    </x:row>
    <x:row r="17" ht="23" customHeight="1">
      <x:c r="A17" s="905" t="str">
        <x:v>Observed qualification earnings context — association only, not a programme benefit</x:v>
      </x:c>
      <x:c r="B17" s="905"/>
      <x:c r="C17" s="905"/>
      <x:c r="D17" s="905"/>
      <x:c r="E17" s="905"/>
      <x:c r="F17" s="905"/>
      <x:c r="G17" s="905"/>
      <x:c r="H17" s="905"/>
      <x:c r="I17" s="905"/>
      <x:c r="J17" s="905"/>
      <x:c r="K17" s="905"/>
      <x:c r="L17" s="905"/>
      <x:c r="M17" s="905"/>
      <x:c r="N17" s="905"/>
      <x:c r="O17" s="905"/>
      <x:c r="P17" s="905"/>
      <x:c r="Q17" s="905"/>
      <x:c r="R17" s="905"/>
      <x:c r="S17" s="905"/>
    </x:row>
    <x:row r="18" ht="30" customHeight="1">
      <x:c r="A18" s="909" t="str">
        <x:v>Age group</x:v>
      </x:c>
      <x:c r="B18" s="909" t="str">
        <x:v>No qualification</x:v>
      </x:c>
      <x:c r="C18" s="909" t="str">
        <x:v>School qualification</x:v>
      </x:c>
      <x:c r="D18" s="909" t="str">
        <x:v>Level 4–6 certificate / diploma</x:v>
      </x:c>
      <x:c r="E18" s="909" t="str">
        <x:v>Bachelor's or higher</x:v>
      </x:c>
      <x:c r="F18" s="909" t="str">
        <x:v>Source ID</x:v>
      </x:c>
      <x:c r="G18" s="26"/>
      <x:c r="H18" s="26"/>
      <x:c r="I18" s="26"/>
      <x:c r="J18" s="26"/>
      <x:c r="K18" s="26"/>
      <x:c r="L18" s="26"/>
      <x:c r="M18" s="26"/>
      <x:c r="N18" s="26"/>
      <x:c r="O18" s="26"/>
      <x:c r="P18" s="26"/>
      <x:c r="Q18" s="26"/>
      <x:c r="R18" s="26"/>
      <x:c r="S18" s="26"/>
    </x:row>
    <x:row r="19">
      <x:c r="A19" s="26" t="str">
        <x:v>25–34</x:v>
      </x:c>
      <x:c r="B19" s="961" t="n">
        <x:v>30.12</x:v>
      </x:c>
      <x:c r="C19" s="961" t="n">
        <x:v>31</x:v>
      </x:c>
      <x:c r="D19" s="961" t="n">
        <x:v>34.52</x:v>
      </x:c>
      <x:c r="E19" s="961" t="n">
        <x:v>38.84</x:v>
      </x:c>
      <x:c r="F19" s="26" t="str">
        <x:v>S34</x:v>
      </x:c>
      <x:c r="G19" s="26"/>
      <x:c r="H19" s="26"/>
      <x:c r="I19" s="26"/>
      <x:c r="J19" s="26"/>
      <x:c r="K19" s="26"/>
      <x:c r="L19" s="26"/>
      <x:c r="M19" s="26"/>
      <x:c r="N19" s="26"/>
      <x:c r="O19" s="26"/>
      <x:c r="P19" s="26"/>
      <x:c r="Q19" s="26"/>
      <x:c r="R19" s="26"/>
      <x:c r="S19" s="26"/>
    </x:row>
    <x:row r="20">
      <x:c r="A20" s="26" t="str">
        <x:v>35–44</x:v>
      </x:c>
      <x:c r="B20" s="961" t="n">
        <x:v>30</x:v>
      </x:c>
      <x:c r="C20" s="961" t="n">
        <x:v>33</x:v>
      </x:c>
      <x:c r="D20" s="961" t="n">
        <x:v>36</x:v>
      </x:c>
      <x:c r="E20" s="961" t="n">
        <x:v>47.95</x:v>
      </x:c>
      <x:c r="F20" s="26" t="str">
        <x:v>S34</x:v>
      </x:c>
      <x:c r="G20" s="26"/>
      <x:c r="H20" s="26"/>
      <x:c r="I20" s="26"/>
      <x:c r="J20" s="26"/>
      <x:c r="K20" s="26"/>
      <x:c r="L20" s="26"/>
      <x:c r="M20" s="26"/>
      <x:c r="N20" s="26"/>
      <x:c r="O20" s="26"/>
      <x:c r="P20" s="26"/>
      <x:c r="Q20" s="26"/>
      <x:c r="R20" s="26"/>
      <x:c r="S20" s="26"/>
    </x:row>
    <x:row r="21">
      <x:c r="A21" s="26" t="str">
        <x:v>45–54</x:v>
      </x:c>
      <x:c r="B21" s="961" t="n">
        <x:v>31.85</x:v>
      </x:c>
      <x:c r="C21" s="961" t="n">
        <x:v>33.95</x:v>
      </x:c>
      <x:c r="D21" s="961" t="n">
        <x:v>38</x:v>
      </x:c>
      <x:c r="E21" s="961" t="n">
        <x:v>48.9</x:v>
      </x:c>
      <x:c r="F21" s="26" t="str">
        <x:v>S34</x:v>
      </x:c>
      <x:c r="G21" s="26"/>
      <x:c r="H21" s="26"/>
      <x:c r="I21" s="26"/>
      <x:c r="J21" s="26"/>
      <x:c r="K21" s="26"/>
      <x:c r="L21" s="26"/>
      <x:c r="M21" s="26"/>
      <x:c r="N21" s="26"/>
      <x:c r="O21" s="26"/>
      <x:c r="P21" s="26"/>
      <x:c r="Q21" s="26"/>
      <x:c r="R21" s="26"/>
      <x:c r="S21" s="26"/>
    </x:row>
    <x:row r="22">
      <x:c r="A22" s="26" t="str">
        <x:v>55–64</x:v>
      </x:c>
      <x:c r="B22" s="961" t="n">
        <x:v>30</x:v>
      </x:c>
      <x:c r="C22" s="961" t="n">
        <x:v>34.1</x:v>
      </x:c>
      <x:c r="D22" s="961" t="n">
        <x:v>38</x:v>
      </x:c>
      <x:c r="E22" s="961" t="n">
        <x:v>47.95</x:v>
      </x:c>
      <x:c r="F22" s="26" t="str">
        <x:v>S34</x:v>
      </x:c>
      <x:c r="G22" s="26"/>
      <x:c r="H22" s="26"/>
      <x:c r="I22" s="26"/>
      <x:c r="J22" s="26"/>
      <x:c r="K22" s="26"/>
      <x:c r="L22" s="26"/>
      <x:c r="M22" s="26"/>
      <x:c r="N22" s="26"/>
      <x:c r="O22" s="26"/>
      <x:c r="P22" s="26"/>
      <x:c r="Q22" s="26"/>
      <x:c r="R22" s="26"/>
      <x:c r="S22" s="26"/>
    </x:row>
    <x:row r="23">
      <x:c r="A23" s="931" t="str">
        <x:v>Qualification differentials help explain the mechanism, but the central model does not add qualification premiums on top of the whole-cohort earnings uplift. Attendance, attainment, transition and completion are measured causal pathways; the broad earnings module is the monetised social channel.</x:v>
      </x:c>
      <x:c r="B23" s="931"/>
      <x:c r="C23" s="931"/>
      <x:c r="D23" s="931"/>
      <x:c r="E23" s="931"/>
      <x:c r="F23" s="931"/>
      <x:c r="G23" s="26"/>
      <x:c r="H23" s="26"/>
      <x:c r="I23" s="26"/>
      <x:c r="J23" s="26"/>
      <x:c r="K23" s="26"/>
      <x:c r="L23" s="26"/>
      <x:c r="M23" s="26"/>
      <x:c r="N23" s="26"/>
      <x:c r="O23" s="26"/>
      <x:c r="P23" s="26"/>
      <x:c r="Q23" s="26"/>
      <x:c r="R23" s="26"/>
      <x:c r="S23" s="26"/>
    </x:row>
    <x:row r="24">
      <x:c r="A24" s="931"/>
      <x:c r="B24" s="931"/>
      <x:c r="C24" s="931"/>
      <x:c r="D24" s="931"/>
      <x:c r="E24" s="931"/>
      <x:c r="F24" s="931"/>
      <x:c r="G24" s="26"/>
      <x:c r="H24" s="26"/>
      <x:c r="I24" s="26"/>
      <x:c r="J24" s="26"/>
      <x:c r="K24" s="26"/>
      <x:c r="L24" s="26"/>
      <x:c r="M24" s="26"/>
      <x:c r="N24" s="26"/>
      <x:c r="O24" s="26"/>
      <x:c r="P24" s="26"/>
      <x:c r="Q24" s="26"/>
      <x:c r="R24" s="26"/>
      <x:c r="S24" s="26"/>
    </x:row>
    <x:row r="25">
      <x:c r="A25" s="26"/>
      <x:c r="B25" s="26"/>
      <x:c r="C25" s="26"/>
      <x:c r="D25" s="26"/>
      <x:c r="E25" s="26"/>
      <x:c r="F25" s="26"/>
      <x:c r="G25" s="26"/>
      <x:c r="H25" s="26"/>
      <x:c r="I25" s="26"/>
      <x:c r="J25" s="26"/>
      <x:c r="K25" s="26"/>
      <x:c r="L25" s="26"/>
      <x:c r="M25" s="26"/>
      <x:c r="N25" s="26"/>
      <x:c r="O25" s="26"/>
      <x:c r="P25" s="26"/>
      <x:c r="Q25" s="26"/>
      <x:c r="R25" s="26"/>
      <x:c r="S25" s="26"/>
    </x:row>
    <x:row r="26">
      <x:c r="A26" s="26"/>
      <x:c r="B26" s="26"/>
      <x:c r="C26" s="26"/>
      <x:c r="D26" s="26"/>
      <x:c r="E26" s="26"/>
      <x:c r="F26" s="26"/>
      <x:c r="G26" s="26"/>
      <x:c r="H26" s="26"/>
      <x:c r="I26" s="26"/>
      <x:c r="J26" s="26"/>
      <x:c r="K26" s="26"/>
      <x:c r="L26" s="26"/>
      <x:c r="M26" s="26"/>
      <x:c r="N26" s="26"/>
      <x:c r="O26" s="26"/>
      <x:c r="P26" s="26"/>
      <x:c r="Q26" s="26"/>
      <x:c r="R26" s="26"/>
      <x:c r="S26" s="26"/>
    </x:row>
    <x:row r="27" ht="23" customHeight="1">
      <x:c r="A27" s="905" t="str">
        <x:v>Whole-cohort earnings population and overlap controls</x:v>
      </x:c>
      <x:c r="B27" s="905"/>
      <x:c r="C27" s="905"/>
      <x:c r="D27" s="905"/>
      <x:c r="E27" s="905"/>
      <x:c r="F27" s="905"/>
      <x:c r="G27" s="905"/>
      <x:c r="H27" s="905"/>
      <x:c r="I27" s="905"/>
      <x:c r="J27" s="905"/>
      <x:c r="K27" s="905"/>
      <x:c r="L27" s="905"/>
      <x:c r="M27" s="905"/>
      <x:c r="N27" s="905"/>
      <x:c r="O27" s="905"/>
      <x:c r="P27" s="905"/>
      <x:c r="Q27" s="905"/>
      <x:c r="R27" s="905"/>
      <x:c r="S27" s="905"/>
    </x:row>
    <x:row r="28" ht="30" customHeight="1">
      <x:c r="A28" s="909" t="str">
        <x:v>Control</x:v>
      </x:c>
      <x:c r="B28" s="909" t="str">
        <x:v>Central value</x:v>
      </x:c>
      <x:c r="C28" s="909" t="str">
        <x:v>Unit</x:v>
      </x:c>
      <x:c r="D28" s="909" t="str">
        <x:v>Treatment</x:v>
      </x:c>
      <x:c r="E28" s="26"/>
      <x:c r="F28" s="26"/>
      <x:c r="G28" s="26"/>
      <x:c r="H28" s="26"/>
      <x:c r="I28" s="26"/>
      <x:c r="J28" s="26"/>
      <x:c r="K28" s="26"/>
      <x:c r="L28" s="26"/>
      <x:c r="M28" s="26"/>
      <x:c r="N28" s="26"/>
      <x:c r="O28" s="26"/>
      <x:c r="P28" s="26"/>
      <x:c r="Q28" s="26"/>
      <x:c r="R28" s="26"/>
      <x:c r="S28" s="26"/>
    </x:row>
    <x:row r="29">
      <x:c r="A29" s="26" t="str">
        <x:v>Annual entrant / exit cohort</x:v>
      </x:c>
      <x:c r="B29" s="932" t="n">
        <x:f>Assumptions!$E$133</x:f>
        <x:v>62348.6</x:v>
      </x:c>
      <x:c r="C29" s="26" t="str">
        <x:v>people</x:v>
      </x:c>
      <x:c r="D29" s="26" t="str">
        <x:v>Aligned with one mature annual programme cost.</x:v>
      </x:c>
      <x:c r="E29" s="26"/>
      <x:c r="F29" s="26"/>
      <x:c r="G29" s="26"/>
      <x:c r="H29" s="26"/>
      <x:c r="I29" s="26"/>
      <x:c r="J29" s="26"/>
      <x:c r="K29" s="26"/>
      <x:c r="L29" s="26"/>
      <x:c r="M29" s="26"/>
      <x:c r="N29" s="26"/>
      <x:c r="O29" s="26"/>
      <x:c r="P29" s="26"/>
      <x:c r="Q29" s="26"/>
      <x:c r="R29" s="26"/>
      <x:c r="S29" s="26"/>
    </x:row>
    <x:row r="30">
      <x:c r="A30" s="26" t="str">
        <x:v>Averted sustained NEET cases</x:v>
      </x:c>
      <x:c r="B30" s="932" t="n">
        <x:f>'Benefits &amp; BCR'!$C$18</x:f>
        <x:v>1402.8434999999997</x:v>
      </x:c>
      <x:c r="C30" s="26" t="str">
        <x:v>people</x:v>
      </x:c>
      <x:c r="D30" s="26" t="str">
        <x:v>Excluded from the broad earnings population to avoid overlap with Pacheco and Dye.</x:v>
      </x:c>
      <x:c r="E30" s="26"/>
      <x:c r="F30" s="26"/>
      <x:c r="G30" s="26"/>
      <x:c r="H30" s="26"/>
      <x:c r="I30" s="26"/>
      <x:c r="J30" s="26"/>
      <x:c r="K30" s="26"/>
      <x:c r="L30" s="26"/>
      <x:c r="M30" s="26"/>
      <x:c r="N30" s="26"/>
      <x:c r="O30" s="26"/>
      <x:c r="P30" s="26"/>
      <x:c r="Q30" s="26"/>
      <x:c r="R30" s="26"/>
      <x:c r="S30" s="26"/>
    </x:row>
    <x:row r="31">
      <x:c r="A31" s="26" t="str">
        <x:v>Broad non-overlap population</x:v>
      </x:c>
      <x:c r="B31" s="932" t="n">
        <x:f>MAX(0,B29-B30)</x:f>
        <x:v>60945.756499999996</x:v>
      </x:c>
      <x:c r="C31" s="26" t="str">
        <x:v>people</x:v>
      </x:c>
      <x:c r="D31" s="26" t="str">
        <x:v>Annual cohort less modelled averted sustained NEET cases.</x:v>
      </x:c>
      <x:c r="E31" s="26"/>
      <x:c r="F31" s="26"/>
      <x:c r="G31" s="26"/>
      <x:c r="H31" s="26"/>
      <x:c r="I31" s="26"/>
      <x:c r="J31" s="26"/>
      <x:c r="K31" s="26"/>
      <x:c r="L31" s="26"/>
      <x:c r="M31" s="26"/>
      <x:c r="N31" s="26"/>
      <x:c r="O31" s="26"/>
      <x:c r="P31" s="26"/>
      <x:c r="Q31" s="26"/>
      <x:c r="R31" s="26"/>
      <x:c r="S31" s="26"/>
    </x:row>
    <x:row r="32">
      <x:c r="A32" s="26" t="str">
        <x:v>Participants affected by earnings uplift</x:v>
      </x:c>
      <x:c r="B32" s="276" t="n">
        <x:f>Assumptions!$E$134</x:f>
        <x:v>0.5</x:v>
      </x:c>
      <x:c r="C32" s="26" t="str">
        <x:v>%</x:v>
      </x:c>
      <x:c r="D32" s="26" t="str">
        <x:v>Not every participant is assumed to benefit.</x:v>
      </x:c>
      <x:c r="E32" s="26"/>
      <x:c r="F32" s="26"/>
      <x:c r="G32" s="26"/>
      <x:c r="H32" s="26"/>
      <x:c r="I32" s="26"/>
      <x:c r="J32" s="26"/>
      <x:c r="K32" s="26"/>
      <x:c r="L32" s="26"/>
      <x:c r="M32" s="26"/>
      <x:c r="N32" s="26"/>
      <x:c r="O32" s="26"/>
      <x:c r="P32" s="26"/>
      <x:c r="Q32" s="26"/>
      <x:c r="R32" s="26"/>
      <x:c r="S32" s="26"/>
    </x:row>
    <x:row r="33">
      <x:c r="A33" s="26" t="str">
        <x:v>Domestic retention</x:v>
      </x:c>
      <x:c r="B33" s="276" t="n">
        <x:f>Assumptions!$E$141</x:f>
        <x:v>0.9</x:v>
      </x:c>
      <x:c r="C33" s="26" t="str">
        <x:v>%</x:v>
      </x:c>
      <x:c r="D33" s="26" t="str">
        <x:v>Reduces the domestic economic and tax-base effect.</x:v>
      </x:c>
      <x:c r="E33" s="26"/>
      <x:c r="F33" s="26"/>
      <x:c r="G33" s="26"/>
      <x:c r="H33" s="26"/>
      <x:c r="I33" s="26"/>
      <x:c r="J33" s="26"/>
      <x:c r="K33" s="26"/>
      <x:c r="L33" s="26"/>
      <x:c r="M33" s="26"/>
      <x:c r="N33" s="26"/>
      <x:c r="O33" s="26"/>
      <x:c r="P33" s="26"/>
      <x:c r="Q33" s="26"/>
      <x:c r="R33" s="26"/>
      <x:c r="S33" s="26"/>
    </x:row>
    <x:row r="34">
      <x:c r="A34" s="26" t="str">
        <x:v>Programme attribution</x:v>
      </x:c>
      <x:c r="B34" s="276" t="n">
        <x:f>Assumptions!$E$142</x:f>
        <x:v>0.6</x:v>
      </x:c>
      <x:c r="C34" s="26" t="str">
        <x:v>%</x:v>
      </x:c>
      <x:c r="D34" s="26" t="str">
        <x:v>Causal effect must be established by the pilot.</x:v>
      </x:c>
      <x:c r="E34" s="26"/>
      <x:c r="F34" s="26"/>
      <x:c r="G34" s="26"/>
      <x:c r="H34" s="26"/>
      <x:c r="I34" s="26"/>
      <x:c r="J34" s="26"/>
      <x:c r="K34" s="26"/>
      <x:c r="L34" s="26"/>
      <x:c r="M34" s="26"/>
      <x:c r="N34" s="26"/>
      <x:c r="O34" s="26"/>
      <x:c r="P34" s="26"/>
      <x:c r="Q34" s="26"/>
      <x:c r="R34" s="26"/>
      <x:c r="S34" s="26"/>
    </x:row>
    <x:row r="35">
      <x:c r="A35" s="26" t="str">
        <x:v>Persistence / fade-out</x:v>
      </x:c>
      <x:c r="B35" s="276" t="n">
        <x:f>Assumptions!$E$143</x:f>
        <x:v>0.8</x:v>
      </x:c>
      <x:c r="C35" s="26" t="str">
        <x:v>%</x:v>
      </x:c>
      <x:c r="D35" s="26" t="str">
        <x:v>Long-run effect is haircut for fade-out.</x:v>
      </x:c>
      <x:c r="E35" s="26"/>
      <x:c r="F35" s="26"/>
      <x:c r="G35" s="26"/>
      <x:c r="H35" s="26"/>
      <x:c r="I35" s="26"/>
      <x:c r="J35" s="26"/>
      <x:c r="K35" s="26"/>
      <x:c r="L35" s="26"/>
      <x:c r="M35" s="26"/>
      <x:c r="N35" s="26"/>
      <x:c r="O35" s="26"/>
      <x:c r="P35" s="26"/>
      <x:c r="Q35" s="26"/>
      <x:c r="R35" s="26"/>
      <x:c r="S35" s="26"/>
    </x:row>
    <x:row r="36">
      <x:c r="A36" s="26" t="str">
        <x:v>Deadweight</x:v>
      </x:c>
      <x:c r="B36" s="276" t="n">
        <x:f>Assumptions!$E$144</x:f>
        <x:v>0.15</x:v>
      </x:c>
      <x:c r="C36" s="26" t="str">
        <x:v>%</x:v>
      </x:c>
      <x:c r="D36" s="26" t="str">
        <x:v>Removes outcomes that occur without the programme.</x:v>
      </x:c>
      <x:c r="E36" s="26"/>
      <x:c r="F36" s="26"/>
      <x:c r="G36" s="26"/>
      <x:c r="H36" s="26"/>
      <x:c r="I36" s="26"/>
      <x:c r="J36" s="26"/>
      <x:c r="K36" s="26"/>
      <x:c r="L36" s="26"/>
      <x:c r="M36" s="26"/>
      <x:c r="N36" s="26"/>
      <x:c r="O36" s="26"/>
      <x:c r="P36" s="26"/>
      <x:c r="Q36" s="26"/>
      <x:c r="R36" s="26"/>
      <x:c r="S36" s="26"/>
    </x:row>
    <x:row r="37">
      <x:c r="A37" s="26" t="str">
        <x:v>Worker displacement</x:v>
      </x:c>
      <x:c r="B37" s="276" t="n">
        <x:f>Assumptions!$E$145</x:f>
        <x:v>0.05</x:v>
      </x:c>
      <x:c r="C37" s="26" t="str">
        <x:v>%</x:v>
      </x:c>
      <x:c r="D37" s="26" t="str">
        <x:v>Removes substitution of non-programme workers.</x:v>
      </x:c>
      <x:c r="E37" s="26"/>
      <x:c r="F37" s="26"/>
      <x:c r="G37" s="26"/>
      <x:c r="H37" s="26"/>
      <x:c r="I37" s="26"/>
      <x:c r="J37" s="26"/>
      <x:c r="K37" s="26"/>
      <x:c r="L37" s="26"/>
      <x:c r="M37" s="26"/>
      <x:c r="N37" s="26"/>
      <x:c r="O37" s="26"/>
      <x:c r="P37" s="26"/>
      <x:c r="Q37" s="26"/>
      <x:c r="R37" s="26"/>
      <x:c r="S37" s="26"/>
    </x:row>
    <x:row r="38">
      <x:c r="A38" s="26" t="str">
        <x:v>General-equilibrium haircut</x:v>
      </x:c>
      <x:c r="B38" s="276" t="n">
        <x:f>Assumptions!$E$146</x:f>
        <x:v>0.05</x:v>
      </x:c>
      <x:c r="C38" s="26" t="str">
        <x:v>%</x:v>
      </x:c>
      <x:c r="D38" s="26" t="str">
        <x:v>Occupation supply, wage, automation and capacity risks.</x:v>
      </x:c>
      <x:c r="E38" s="26"/>
      <x:c r="F38" s="26"/>
      <x:c r="G38" s="26"/>
      <x:c r="H38" s="26"/>
      <x:c r="I38" s="26"/>
      <x:c r="J38" s="26"/>
      <x:c r="K38" s="26"/>
      <x:c r="L38" s="26"/>
      <x:c r="M38" s="26"/>
      <x:c r="N38" s="26"/>
      <x:c r="O38" s="26"/>
      <x:c r="P38" s="26"/>
      <x:c r="Q38" s="26"/>
      <x:c r="R38" s="26"/>
      <x:c r="S38" s="26"/>
    </x:row>
    <x:row r="39">
      <x:c r="A39" s="1101" t="str">
        <x:v>Adjusted affected participants before employment</x:v>
      </x:c>
      <x:c r="B39" s="1119" t="n">
        <x:f>B31*B32*B33*B34*B35*(1-B36)*(1-B37)*(1-B38)</x:f>
        <x:v>10098.650906293498</x:v>
      </x:c>
      <x:c r="C39" s="1101" t="str">
        <x:v>people</x:v>
      </x:c>
      <x:c r="D39" s="1101" t="str">
        <x:v>Broad cohort after affected share, domestic retention, attribution, persistence, deadweight, displacement and general-equilibrium adjustments.</x:v>
      </x:c>
      <x:c r="E39" s="26"/>
      <x:c r="F39" s="26"/>
      <x:c r="G39" s="26"/>
      <x:c r="H39" s="26"/>
      <x:c r="I39" s="26"/>
      <x:c r="J39" s="26"/>
      <x:c r="K39" s="26"/>
      <x:c r="L39" s="26"/>
      <x:c r="M39" s="26"/>
      <x:c r="N39" s="26"/>
      <x:c r="O39" s="26"/>
      <x:c r="P39" s="26"/>
      <x:c r="Q39" s="26"/>
      <x:c r="R39" s="26"/>
      <x:c r="S39" s="26"/>
    </x:row>
    <x:row r="40">
      <x:c r="A40" s="1101" t="str">
        <x:v>Employment probability</x:v>
      </x:c>
      <x:c r="B40" s="1118" t="n">
        <x:f>Assumptions!$E$137</x:f>
        <x:v>0.85</x:v>
      </x:c>
      <x:c r="C40" s="1101" t="str">
        <x:v>%</x:v>
      </x:c>
      <x:c r="D40" s="1101" t="str">
        <x:v>Applied after the other population adjustments.</x:v>
      </x:c>
      <x:c r="E40" s="26"/>
      <x:c r="F40" s="26"/>
      <x:c r="G40" s="26"/>
      <x:c r="H40" s="26"/>
      <x:c r="I40" s="26"/>
      <x:c r="J40" s="26"/>
      <x:c r="K40" s="26"/>
      <x:c r="L40" s="26"/>
      <x:c r="M40" s="26"/>
      <x:c r="N40" s="26"/>
      <x:c r="O40" s="26"/>
      <x:c r="P40" s="26"/>
      <x:c r="Q40" s="26"/>
      <x:c r="R40" s="26"/>
      <x:c r="S40" s="26"/>
    </x:row>
    <x:row r="41">
      <x:c r="A41" s="1101" t="str">
        <x:v>Effective affected employed population</x:v>
      </x:c>
      <x:c r="B41" s="1119" t="n">
        <x:f>B39*B40</x:f>
        <x:v>8583.853270349473</x:v>
      </x:c>
      <x:c r="C41" s="1101" t="str">
        <x:v>people</x:v>
      </x:c>
      <x:c r="D41" s="1101" t="str">
        <x:v>Population to which the modelled affected-population earnings uplift is applied.</x:v>
      </x:c>
      <x:c r="E41" s="26"/>
      <x:c r="F41" s="26"/>
      <x:c r="G41" s="26"/>
      <x:c r="H41" s="26"/>
      <x:c r="I41" s="26"/>
      <x:c r="J41" s="26"/>
      <x:c r="K41" s="26"/>
      <x:c r="L41" s="26"/>
      <x:c r="M41" s="26"/>
      <x:c r="N41" s="26"/>
      <x:c r="O41" s="26"/>
      <x:c r="P41" s="26"/>
      <x:c r="Q41" s="26"/>
      <x:c r="R41" s="26"/>
      <x:c r="S41" s="26"/>
    </x:row>
    <x:row r="42">
      <x:c r="A42" s="1121" t="str">
        <x:v>Interpretation control</x:v>
      </x:c>
      <x:c r="B42" s="1121"/>
      <x:c r="C42" s="1121"/>
      <x:c r="D42" s="1121" t="str">
        <x:v>The affected-population uplift is not assumed to apply uniformly to the broad cohort or the full eligible cohort.</x:v>
      </x:c>
      <x:c r="E42" s="26"/>
      <x:c r="F42" s="26"/>
      <x:c r="G42" s="26"/>
      <x:c r="H42" s="26"/>
      <x:c r="I42" s="26"/>
      <x:c r="J42" s="26"/>
      <x:c r="K42" s="26"/>
      <x:c r="L42" s="26"/>
      <x:c r="M42" s="26"/>
      <x:c r="N42" s="26"/>
      <x:c r="O42" s="26"/>
      <x:c r="P42" s="26"/>
      <x:c r="Q42" s="26"/>
      <x:c r="R42" s="26"/>
      <x:c r="S42" s="26"/>
    </x:row>
    <x:row r="43" ht="23" customHeight="1">
      <x:c r="A43" s="905" t="str">
        <x:v>Central age-earnings trajectory and marginal tax calculation</x:v>
      </x:c>
      <x:c r="B43" s="905"/>
      <x:c r="C43" s="905"/>
      <x:c r="D43" s="905"/>
      <x:c r="E43" s="905"/>
      <x:c r="F43" s="905"/>
      <x:c r="G43" s="905"/>
      <x:c r="H43" s="905"/>
      <x:c r="I43" s="905"/>
      <x:c r="J43" s="905"/>
      <x:c r="K43" s="905"/>
      <x:c r="L43" s="905"/>
      <x:c r="M43" s="905"/>
      <x:c r="N43" s="905"/>
      <x:c r="O43" s="905"/>
      <x:c r="P43" s="905"/>
      <x:c r="Q43" s="905"/>
      <x:c r="R43" s="905"/>
      <x:c r="S43" s="905"/>
    </x:row>
    <x:row r="44" ht="30" customHeight="1">
      <x:c r="A44" s="909" t="str">
        <x:v>Year</x:v>
      </x:c>
      <x:c r="B44" s="909" t="str">
        <x:v>Age</x:v>
      </x:c>
      <x:c r="C44" s="909" t="str">
        <x:v>Age band</x:v>
      </x:c>
      <x:c r="D44" s="909" t="str">
        <x:v>Hourly earnings — 2025</x:v>
      </x:c>
      <x:c r="E44" s="909" t="str">
        <x:v>2026 conversion</x:v>
      </x:c>
      <x:c r="F44" s="909" t="str">
        <x:v>Hours/week</x:v>
      </x:c>
      <x:c r="G44" s="909" t="str">
        <x:v>Weeks/year</x:v>
      </x:c>
      <x:c r="H44" s="909" t="str">
        <x:v>Employment probability</x:v>
      </x:c>
      <x:c r="I44" s="909" t="str">
        <x:v>Real wage-growth index</x:v>
      </x:c>
      <x:c r="J44" s="909" t="str">
        <x:v>Annual earnings — 2026 real</x:v>
      </x:c>
      <x:c r="K44" s="909" t="str">
        <x:v>PV factor — 2% Treasury-aligned social case</x:v>
      </x:c>
      <x:c r="L44" s="909" t="str">
        <x:v>PV factor — 4% intermediate sensitivity</x:v>
      </x:c>
      <x:c r="M44" s="909" t="str">
        <x:v>PV factor — 8% high sensitivity</x:v>
      </x:c>
      <x:c r="N44" s="909" t="str">
        <x:v>Incremental tax + ACC at 1% uplift</x:v>
      </x:c>
      <x:c r="O44" s="909" t="str">
        <x:v>Source / assumption</x:v>
      </x:c>
      <x:c r="P44" s="26"/>
      <x:c r="Q44" s="26"/>
      <x:c r="R44" s="26"/>
      <x:c r="S44" s="26"/>
    </x:row>
    <x:row r="45">
      <x:c r="A45" s="26" t="n">
        <x:v>1</x:v>
      </x:c>
      <x:c r="B45" s="26" t="n">
        <x:v>21</x:v>
      </x:c>
      <x:c r="C45" s="26" t="str">
        <x:v>20–24</x:v>
      </x:c>
      <x:c r="D45" s="962" t="n">
        <x:f>Assumptions!$E$151*Assumptions!$E$147</x:f>
        <x:v>26.160000000000004</x:v>
      </x:c>
      <x:c r="E45" s="963" t="n">
        <x:f>Assumptions!$E$150</x:f>
        <x:v>1.027</x:v>
      </x:c>
      <x:c r="F45" s="932" t="n">
        <x:f>Assumptions!$E$138</x:f>
        <x:v>37</x:v>
      </x:c>
      <x:c r="G45" s="932" t="n">
        <x:f>Assumptions!$E$139</x:f>
        <x:v>52</x:v>
      </x:c>
      <x:c r="H45" s="932" t="n">
        <x:f>Assumptions!$E$137</x:f>
        <x:v>0.85</x:v>
      </x:c>
      <x:c r="I45" s="963" t="n">
        <x:f>(1+Assumptions!$E$140)^(A45-1)</x:f>
        <x:v>1</x:v>
      </x:c>
      <x:c r="J45" s="167" t="n">
        <x:f>D45*E45*F45*G45*I45</x:f>
        <x:v>51690.799680000004</x:v>
      </x:c>
      <x:c r="K45" s="964" t="n">
        <x:f>1/(1+Assumptions!$E$15)^A45</x:f>
        <x:v>0.9803921568627451</x:v>
      </x:c>
      <x:c r="L45" s="964" t="n">
        <x:f>1/(1+Assumptions!$E$53)^A45</x:f>
        <x:v>0.9615384615384615</x:v>
      </x:c>
      <x:c r="M45" s="964" t="n">
        <x:f>1/(1+Assumptions!$E$16)^A45</x:f>
        <x:v>0.9259259259259258</x:v>
      </x:c>
      <x:c r="N45" s="965" t="n">
        <x:f>(MIN(J45*1.01,Assumptions!$E$155)*Assumptions!$E$156+MAX(MIN(J45*1.01,Assumptions!$E$157)-Assumptions!$E$155,0)*Assumptions!$E$158+MAX(MIN(J45*1.01,Assumptions!$E$159)-Assumptions!$E$157,0)*Assumptions!$E$160+MAX(MIN(J45*1.01,Assumptions!$E$161)-Assumptions!$E$159,0)*Assumptions!$E$162+MAX(J45*1.01-Assumptions!$E$161,0)*Assumptions!$E$163+MIN(J45*1.01,Assumptions!$E$165)*Assumptions!$E$164)-(MIN(J45,Assumptions!$E$155)*Assumptions!$E$156+MAX(MIN(J45,Assumptions!$E$157)-Assumptions!$E$155,0)*Assumptions!$E$158+MAX(MIN(J45,Assumptions!$E$159)-Assumptions!$E$157,0)*Assumptions!$E$160+MAX(MIN(J45,Assumptions!$E$161)-Assumptions!$E$159,0)*Assumptions!$E$162+MAX(J45-Assumptions!$E$161,0)*Assumptions!$E$163+MIN(J45,Assumptions!$E$165)*Assumptions!$E$164)</x:f>
        <x:v>99.5047893840001</x:v>
      </x:c>
      <x:c r="O45" s="26" t="str">
        <x:v>S34;S41;S42;S43;A18</x:v>
      </x:c>
      <x:c r="P45" s="26"/>
      <x:c r="Q45" s="26"/>
      <x:c r="R45" s="26"/>
      <x:c r="S45" s="26"/>
    </x:row>
    <x:row r="46">
      <x:c r="A46" s="26" t="n">
        <x:v>2</x:v>
      </x:c>
      <x:c r="B46" s="26" t="n">
        <x:v>22</x:v>
      </x:c>
      <x:c r="C46" s="26" t="str">
        <x:v>20–24</x:v>
      </x:c>
      <x:c r="D46" s="962" t="n">
        <x:f>Assumptions!$E$151*Assumptions!$E$147</x:f>
        <x:v>26.160000000000004</x:v>
      </x:c>
      <x:c r="E46" s="963" t="n">
        <x:f>Assumptions!$E$150</x:f>
        <x:v>1.027</x:v>
      </x:c>
      <x:c r="F46" s="932" t="n">
        <x:f>Assumptions!$E$138</x:f>
        <x:v>37</x:v>
      </x:c>
      <x:c r="G46" s="932" t="n">
        <x:f>Assumptions!$E$139</x:f>
        <x:v>52</x:v>
      </x:c>
      <x:c r="H46" s="932" t="n">
        <x:f>Assumptions!$E$137</x:f>
        <x:v>0.85</x:v>
      </x:c>
      <x:c r="I46" s="963" t="n">
        <x:f>(1+Assumptions!$E$140)^(A46-1)</x:f>
        <x:v>1.005</x:v>
      </x:c>
      <x:c r="J46" s="167" t="n">
        <x:f>D46*E46*F46*G46*I46</x:f>
        <x:v>51949.2536784</x:v>
      </x:c>
      <x:c r="K46" s="964" t="n">
        <x:f>1/(1+Assumptions!$E$15)^A46</x:f>
        <x:v>0.9611687812379854</x:v>
      </x:c>
      <x:c r="L46" s="964" t="n">
        <x:f>1/(1+Assumptions!$E$53)^A46</x:f>
        <x:v>0.9245562130177514</x:v>
      </x:c>
      <x:c r="M46" s="964" t="n">
        <x:f>1/(1+Assumptions!$E$16)^A46</x:f>
        <x:v>0.8573388203017832</x:v>
      </x:c>
      <x:c r="N46" s="965" t="n">
        <x:f>(MIN(J46*1.01,Assumptions!$E$155)*Assumptions!$E$156+MAX(MIN(J46*1.01,Assumptions!$E$157)-Assumptions!$E$155,0)*Assumptions!$E$158+MAX(MIN(J46*1.01,Assumptions!$E$159)-Assumptions!$E$157,0)*Assumptions!$E$160+MAX(MIN(J46*1.01,Assumptions!$E$161)-Assumptions!$E$159,0)*Assumptions!$E$162+MAX(J46*1.01-Assumptions!$E$161,0)*Assumptions!$E$163+MIN(J46*1.01,Assumptions!$E$165)*Assumptions!$E$164)-(MIN(J46,Assumptions!$E$155)*Assumptions!$E$156+MAX(MIN(J46,Assumptions!$E$157)-Assumptions!$E$155,0)*Assumptions!$E$158+MAX(MIN(J46,Assumptions!$E$159)-Assumptions!$E$157,0)*Assumptions!$E$160+MAX(MIN(J46,Assumptions!$E$161)-Assumptions!$E$159,0)*Assumptions!$E$162+MAX(J46-Assumptions!$E$161,0)*Assumptions!$E$163+MIN(J46,Assumptions!$E$165)*Assumptions!$E$164)</x:f>
        <x:v>100.00231333092051</x:v>
      </x:c>
      <x:c r="O46" s="26" t="str">
        <x:v>S34;S41;S42;S43;A18</x:v>
      </x:c>
      <x:c r="P46" s="26"/>
      <x:c r="Q46" s="26"/>
      <x:c r="R46" s="26"/>
      <x:c r="S46" s="26"/>
    </x:row>
    <x:row r="47">
      <x:c r="A47" s="26" t="n">
        <x:v>3</x:v>
      </x:c>
      <x:c r="B47" s="26" t="n">
        <x:v>23</x:v>
      </x:c>
      <x:c r="C47" s="26" t="str">
        <x:v>20–24</x:v>
      </x:c>
      <x:c r="D47" s="962" t="n">
        <x:f>Assumptions!$E$151*Assumptions!$E$147</x:f>
        <x:v>26.160000000000004</x:v>
      </x:c>
      <x:c r="E47" s="963" t="n">
        <x:f>Assumptions!$E$150</x:f>
        <x:v>1.027</x:v>
      </x:c>
      <x:c r="F47" s="932" t="n">
        <x:f>Assumptions!$E$138</x:f>
        <x:v>37</x:v>
      </x:c>
      <x:c r="G47" s="932" t="n">
        <x:f>Assumptions!$E$139</x:f>
        <x:v>52</x:v>
      </x:c>
      <x:c r="H47" s="932" t="n">
        <x:f>Assumptions!$E$137</x:f>
        <x:v>0.85</x:v>
      </x:c>
      <x:c r="I47" s="963" t="n">
        <x:f>(1+Assumptions!$E$140)^(A47-1)</x:f>
        <x:v>1.0100249999999997</x:v>
      </x:c>
      <x:c r="J47" s="167" t="n">
        <x:f>D47*E47*F47*G47*I47</x:f>
        <x:v>52208.99994679199</x:v>
      </x:c>
      <x:c r="K47" s="964" t="n">
        <x:f>1/(1+Assumptions!$E$15)^A47</x:f>
        <x:v>0.9423223345470446</x:v>
      </x:c>
      <x:c r="L47" s="964" t="n">
        <x:f>1/(1+Assumptions!$E$53)^A47</x:f>
        <x:v>0.8889963586709149</x:v>
      </x:c>
      <x:c r="M47" s="964" t="n">
        <x:f>1/(1+Assumptions!$E$16)^A47</x:f>
        <x:v>0.7938322410201696</x:v>
      </x:c>
      <x:c r="N47" s="965" t="n">
        <x:f>(MIN(J47*1.01,Assumptions!$E$155)*Assumptions!$E$156+MAX(MIN(J47*1.01,Assumptions!$E$157)-Assumptions!$E$155,0)*Assumptions!$E$158+MAX(MIN(J47*1.01,Assumptions!$E$159)-Assumptions!$E$157,0)*Assumptions!$E$160+MAX(MIN(J47*1.01,Assumptions!$E$161)-Assumptions!$E$159,0)*Assumptions!$E$162+MAX(J47*1.01-Assumptions!$E$161,0)*Assumptions!$E$163+MIN(J47*1.01,Assumptions!$E$165)*Assumptions!$E$164)-(MIN(J47,Assumptions!$E$155)*Assumptions!$E$156+MAX(MIN(J47,Assumptions!$E$157)-Assumptions!$E$155,0)*Assumptions!$E$158+MAX(MIN(J47,Assumptions!$E$159)-Assumptions!$E$157,0)*Assumptions!$E$160+MAX(MIN(J47,Assumptions!$E$161)-Assumptions!$E$159,0)*Assumptions!$E$162+MAX(J47-Assumptions!$E$161,0)*Assumptions!$E$163+MIN(J47,Assumptions!$E$165)*Assumptions!$E$164)</x:f>
        <x:v>100.502324897574</x:v>
      </x:c>
      <x:c r="O47" s="26" t="str">
        <x:v>S34;S41;S42;S43;A18</x:v>
      </x:c>
      <x:c r="P47" s="26"/>
      <x:c r="Q47" s="26"/>
      <x:c r="R47" s="26"/>
      <x:c r="S47" s="26"/>
    </x:row>
    <x:row r="48">
      <x:c r="A48" s="26" t="n">
        <x:v>4</x:v>
      </x:c>
      <x:c r="B48" s="26" t="n">
        <x:v>24</x:v>
      </x:c>
      <x:c r="C48" s="26" t="str">
        <x:v>20–24</x:v>
      </x:c>
      <x:c r="D48" s="962" t="n">
        <x:f>Assumptions!$E$151*Assumptions!$E$147</x:f>
        <x:v>26.160000000000004</x:v>
      </x:c>
      <x:c r="E48" s="963" t="n">
        <x:f>Assumptions!$E$150</x:f>
        <x:v>1.027</x:v>
      </x:c>
      <x:c r="F48" s="932" t="n">
        <x:f>Assumptions!$E$138</x:f>
        <x:v>37</x:v>
      </x:c>
      <x:c r="G48" s="932" t="n">
        <x:f>Assumptions!$E$139</x:f>
        <x:v>52</x:v>
      </x:c>
      <x:c r="H48" s="932" t="n">
        <x:f>Assumptions!$E$137</x:f>
        <x:v>0.85</x:v>
      </x:c>
      <x:c r="I48" s="963" t="n">
        <x:f>(1+Assumptions!$E$140)^(A48-1)</x:f>
        <x:v>1.0150751249999996</x:v>
      </x:c>
      <x:c r="J48" s="167" t="n">
        <x:f>D48*E48*F48*G48*I48</x:f>
        <x:v>52470.044946525944</x:v>
      </x:c>
      <x:c r="K48" s="964" t="n">
        <x:f>1/(1+Assumptions!$E$15)^A48</x:f>
        <x:v>0.9238454260265142</x:v>
      </x:c>
      <x:c r="L48" s="964" t="n">
        <x:f>1/(1+Assumptions!$E$53)^A48</x:f>
        <x:v>0.8548041910297257</x:v>
      </x:c>
      <x:c r="M48" s="964" t="n">
        <x:f>1/(1+Assumptions!$E$16)^A48</x:f>
        <x:v>0.7350298527964533</x:v>
      </x:c>
      <x:c r="N48" s="965" t="n">
        <x:f>(MIN(J48*1.01,Assumptions!$E$155)*Assumptions!$E$156+MAX(MIN(J48*1.01,Assumptions!$E$157)-Assumptions!$E$155,0)*Assumptions!$E$158+MAX(MIN(J48*1.01,Assumptions!$E$159)-Assumptions!$E$157,0)*Assumptions!$E$160+MAX(MIN(J48*1.01,Assumptions!$E$161)-Assumptions!$E$159,0)*Assumptions!$E$162+MAX(J48*1.01-Assumptions!$E$161,0)*Assumptions!$E$163+MIN(J48*1.01,Assumptions!$E$165)*Assumptions!$E$164)-(MIN(J48,Assumptions!$E$155)*Assumptions!$E$156+MAX(MIN(J48,Assumptions!$E$157)-Assumptions!$E$155,0)*Assumptions!$E$158+MAX(MIN(J48,Assumptions!$E$159)-Assumptions!$E$157,0)*Assumptions!$E$160+MAX(MIN(J48,Assumptions!$E$161)-Assumptions!$E$159,0)*Assumptions!$E$162+MAX(J48-Assumptions!$E$161,0)*Assumptions!$E$163+MIN(J48,Assumptions!$E$165)*Assumptions!$E$164)</x:f>
        <x:v>101.00483652206276</x:v>
      </x:c>
      <x:c r="O48" s="26" t="str">
        <x:v>S34;S41;S42;S43;A18</x:v>
      </x:c>
      <x:c r="P48" s="26"/>
      <x:c r="Q48" s="26"/>
      <x:c r="R48" s="26"/>
      <x:c r="S48" s="26"/>
    </x:row>
    <x:row r="49">
      <x:c r="A49" s="26" t="n">
        <x:v>5</x:v>
      </x:c>
      <x:c r="B49" s="26" t="n">
        <x:v>25</x:v>
      </x:c>
      <x:c r="C49" s="26" t="str">
        <x:v>25–34</x:v>
      </x:c>
      <x:c r="D49" s="962" t="n">
        <x:f>Assumptions!$E$151</x:f>
        <x:v>34.88</x:v>
      </x:c>
      <x:c r="E49" s="963" t="n">
        <x:f>Assumptions!$E$150</x:f>
        <x:v>1.027</x:v>
      </x:c>
      <x:c r="F49" s="932" t="n">
        <x:f>Assumptions!$E$138</x:f>
        <x:v>37</x:v>
      </x:c>
      <x:c r="G49" s="932" t="n">
        <x:f>Assumptions!$E$139</x:f>
        <x:v>52</x:v>
      </x:c>
      <x:c r="H49" s="932" t="n">
        <x:f>Assumptions!$E$137</x:f>
        <x:v>0.85</x:v>
      </x:c>
      <x:c r="I49" s="963" t="n">
        <x:f>(1+Assumptions!$E$140)^(A49-1)</x:f>
        <x:v>1.0201505006249993</x:v>
      </x:c>
      <x:c r="J49" s="167" t="n">
        <x:f>D49*E49*F49*G49*I49</x:f>
        <x:v>70309.86022834474</x:v>
      </x:c>
      <x:c r="K49" s="964" t="n">
        <x:f>1/(1+Assumptions!$E$15)^A49</x:f>
        <x:v>0.9057308098299159</x:v>
      </x:c>
      <x:c r="L49" s="964" t="n">
        <x:f>1/(1+Assumptions!$E$53)^A49</x:f>
        <x:v>0.8219271067593515</x:v>
      </x:c>
      <x:c r="M49" s="964" t="n">
        <x:f>1/(1+Assumptions!$E$16)^A49</x:f>
        <x:v>0.680583197033753</x:v>
      </x:c>
      <x:c r="N49" s="965" t="n">
        <x:f>(MIN(J49*1.01,Assumptions!$E$155)*Assumptions!$E$156+MAX(MIN(J49*1.01,Assumptions!$E$157)-Assumptions!$E$155,0)*Assumptions!$E$158+MAX(MIN(J49*1.01,Assumptions!$E$159)-Assumptions!$E$157,0)*Assumptions!$E$160+MAX(MIN(J49*1.01,Assumptions!$E$161)-Assumptions!$E$159,0)*Assumptions!$E$162+MAX(J49*1.01-Assumptions!$E$161,0)*Assumptions!$E$163+MIN(J49*1.01,Assumptions!$E$165)*Assumptions!$E$164)-(MIN(J49,Assumptions!$E$155)*Assumptions!$E$156+MAX(MIN(J49,Assumptions!$E$157)-Assumptions!$E$155,0)*Assumptions!$E$158+MAX(MIN(J49,Assumptions!$E$159)-Assumptions!$E$157,0)*Assumptions!$E$160+MAX(MIN(J49,Assumptions!$E$161)-Assumptions!$E$159,0)*Assumptions!$E$162+MAX(J49-Assumptions!$E$161,0)*Assumptions!$E$163+MIN(J49,Assumptions!$E$165)*Assumptions!$E$164)</x:f>
        <x:v>223.23380622499644</x:v>
      </x:c>
      <x:c r="O49" s="26" t="str">
        <x:v>S34;S41;S42;S43;A18</x:v>
      </x:c>
      <x:c r="P49" s="26"/>
      <x:c r="Q49" s="26"/>
      <x:c r="R49" s="26"/>
      <x:c r="S49" s="26"/>
    </x:row>
    <x:row r="50">
      <x:c r="A50" s="26" t="n">
        <x:v>6</x:v>
      </x:c>
      <x:c r="B50" s="26" t="n">
        <x:v>26</x:v>
      </x:c>
      <x:c r="C50" s="26" t="str">
        <x:v>25–34</x:v>
      </x:c>
      <x:c r="D50" s="962" t="n">
        <x:f>Assumptions!$E$151</x:f>
        <x:v>34.88</x:v>
      </x:c>
      <x:c r="E50" s="963" t="n">
        <x:f>Assumptions!$E$150</x:f>
        <x:v>1.027</x:v>
      </x:c>
      <x:c r="F50" s="932" t="n">
        <x:f>Assumptions!$E$138</x:f>
        <x:v>37</x:v>
      </x:c>
      <x:c r="G50" s="932" t="n">
        <x:f>Assumptions!$E$139</x:f>
        <x:v>52</x:v>
      </x:c>
      <x:c r="H50" s="932" t="n">
        <x:f>Assumptions!$E$137</x:f>
        <x:v>0.85</x:v>
      </x:c>
      <x:c r="I50" s="963" t="n">
        <x:f>(1+Assumptions!$E$140)^(A50-1)</x:f>
        <x:v>1.0252512531281242</x:v>
      </x:c>
      <x:c r="J50" s="167" t="n">
        <x:f>D50*E50*F50*G50*I50</x:f>
        <x:v>70661.40952948645</x:v>
      </x:c>
      <x:c r="K50" s="964" t="n">
        <x:f>1/(1+Assumptions!$E$15)^A50</x:f>
        <x:v>0.887971382186192</x:v>
      </x:c>
      <x:c r="L50" s="964" t="n">
        <x:f>1/(1+Assumptions!$E$53)^A50</x:f>
        <x:v>0.7903145257301457</x:v>
      </x:c>
      <x:c r="M50" s="964" t="n">
        <x:f>1/(1+Assumptions!$E$16)^A50</x:f>
        <x:v>0.6301696268831045</x:v>
      </x:c>
      <x:c r="N50" s="965" t="n">
        <x:f>(MIN(J50*1.01,Assumptions!$E$155)*Assumptions!$E$156+MAX(MIN(J50*1.01,Assumptions!$E$157)-Assumptions!$E$155,0)*Assumptions!$E$158+MAX(MIN(J50*1.01,Assumptions!$E$159)-Assumptions!$E$157,0)*Assumptions!$E$160+MAX(MIN(J50*1.01,Assumptions!$E$161)-Assumptions!$E$159,0)*Assumptions!$E$162+MAX(J50*1.01-Assumptions!$E$161,0)*Assumptions!$E$163+MIN(J50*1.01,Assumptions!$E$165)*Assumptions!$E$164)-(MIN(J50,Assumptions!$E$155)*Assumptions!$E$156+MAX(MIN(J50,Assumptions!$E$157)-Assumptions!$E$155,0)*Assumptions!$E$158+MAX(MIN(J50,Assumptions!$E$159)-Assumptions!$E$157,0)*Assumptions!$E$160+MAX(MIN(J50,Assumptions!$E$161)-Assumptions!$E$159,0)*Assumptions!$E$162+MAX(J50-Assumptions!$E$161,0)*Assumptions!$E$163+MIN(J50,Assumptions!$E$165)*Assumptions!$E$164)</x:f>
        <x:v>224.34997525611834</x:v>
      </x:c>
      <x:c r="O50" s="26" t="str">
        <x:v>S34;S41;S42;S43;A18</x:v>
      </x:c>
      <x:c r="P50" s="26"/>
      <x:c r="Q50" s="26"/>
      <x:c r="R50" s="26"/>
      <x:c r="S50" s="26"/>
    </x:row>
    <x:row r="51">
      <x:c r="A51" s="26" t="n">
        <x:v>7</x:v>
      </x:c>
      <x:c r="B51" s="26" t="n">
        <x:v>27</x:v>
      </x:c>
      <x:c r="C51" s="26" t="str">
        <x:v>25–34</x:v>
      </x:c>
      <x:c r="D51" s="962" t="n">
        <x:f>Assumptions!$E$151</x:f>
        <x:v>34.88</x:v>
      </x:c>
      <x:c r="E51" s="963" t="n">
        <x:f>Assumptions!$E$150</x:f>
        <x:v>1.027</x:v>
      </x:c>
      <x:c r="F51" s="932" t="n">
        <x:f>Assumptions!$E$138</x:f>
        <x:v>37</x:v>
      </x:c>
      <x:c r="G51" s="932" t="n">
        <x:f>Assumptions!$E$139</x:f>
        <x:v>52</x:v>
      </x:c>
      <x:c r="H51" s="932" t="n">
        <x:f>Assumptions!$E$137</x:f>
        <x:v>0.85</x:v>
      </x:c>
      <x:c r="I51" s="963" t="n">
        <x:f>(1+Assumptions!$E$140)^(A51-1)</x:f>
        <x:v>1.0303775093937646</x:v>
      </x:c>
      <x:c r="J51" s="167" t="n">
        <x:f>D51*E51*F51*G51*I51</x:f>
        <x:v>71014.71657713388</x:v>
      </x:c>
      <x:c r="K51" s="964" t="n">
        <x:f>1/(1+Assumptions!$E$15)^A51</x:f>
        <x:v>0.8705601786139139</x:v>
      </x:c>
      <x:c r="L51" s="964" t="n">
        <x:f>1/(1+Assumptions!$E$53)^A51</x:f>
        <x:v>0.7599178132020633</x:v>
      </x:c>
      <x:c r="M51" s="964" t="n">
        <x:f>1/(1+Assumptions!$E$16)^A51</x:f>
        <x:v>0.5834903952621339</x:v>
      </x:c>
      <x:c r="N51" s="965" t="n">
        <x:f>(MIN(J51*1.01,Assumptions!$E$155)*Assumptions!$E$156+MAX(MIN(J51*1.01,Assumptions!$E$157)-Assumptions!$E$155,0)*Assumptions!$E$158+MAX(MIN(J51*1.01,Assumptions!$E$159)-Assumptions!$E$157,0)*Assumptions!$E$160+MAX(MIN(J51*1.01,Assumptions!$E$161)-Assumptions!$E$159,0)*Assumptions!$E$162+MAX(J51*1.01-Assumptions!$E$161,0)*Assumptions!$E$163+MIN(J51*1.01,Assumptions!$E$165)*Assumptions!$E$164)-(MIN(J51,Assumptions!$E$155)*Assumptions!$E$156+MAX(MIN(J51,Assumptions!$E$157)-Assumptions!$E$155,0)*Assumptions!$E$158+MAX(MIN(J51,Assumptions!$E$159)-Assumptions!$E$157,0)*Assumptions!$E$160+MAX(MIN(J51,Assumptions!$E$161)-Assumptions!$E$159,0)*Assumptions!$E$162+MAX(J51-Assumptions!$E$161,0)*Assumptions!$E$163+MIN(J51,Assumptions!$E$165)*Assumptions!$E$164)</x:f>
        <x:v>225.47172513240002</x:v>
      </x:c>
      <x:c r="O51" s="26" t="str">
        <x:v>S34;S41;S42;S43;A18</x:v>
      </x:c>
      <x:c r="P51" s="26"/>
      <x:c r="Q51" s="26"/>
      <x:c r="R51" s="26"/>
      <x:c r="S51" s="26"/>
    </x:row>
    <x:row r="52">
      <x:c r="A52" s="26" t="n">
        <x:v>8</x:v>
      </x:c>
      <x:c r="B52" s="26" t="n">
        <x:v>28</x:v>
      </x:c>
      <x:c r="C52" s="26" t="str">
        <x:v>25–34</x:v>
      </x:c>
      <x:c r="D52" s="962" t="n">
        <x:f>Assumptions!$E$151</x:f>
        <x:v>34.88</x:v>
      </x:c>
      <x:c r="E52" s="963" t="n">
        <x:f>Assumptions!$E$150</x:f>
        <x:v>1.027</x:v>
      </x:c>
      <x:c r="F52" s="932" t="n">
        <x:f>Assumptions!$E$138</x:f>
        <x:v>37</x:v>
      </x:c>
      <x:c r="G52" s="932" t="n">
        <x:f>Assumptions!$E$139</x:f>
        <x:v>52</x:v>
      </x:c>
      <x:c r="H52" s="932" t="n">
        <x:f>Assumptions!$E$137</x:f>
        <x:v>0.85</x:v>
      </x:c>
      <x:c r="I52" s="963" t="n">
        <x:f>(1+Assumptions!$E$140)^(A52-1)</x:f>
        <x:v>1.0355293969407333</x:v>
      </x:c>
      <x:c r="J52" s="167" t="n">
        <x:f>D52*E52*F52*G52*I52</x:f>
        <x:v>71369.79016001953</x:v>
      </x:c>
      <x:c r="K52" s="964" t="n">
        <x:f>1/(1+Assumptions!$E$15)^A52</x:f>
        <x:v>0.8534903711901116</x:v>
      </x:c>
      <x:c r="L52" s="964" t="n">
        <x:f>1/(1+Assumptions!$E$53)^A52</x:f>
        <x:v>0.7306902050019838</x:v>
      </x:c>
      <x:c r="M52" s="964" t="n">
        <x:f>1/(1+Assumptions!$E$16)^A52</x:f>
        <x:v>0.5402688845019757</x:v>
      </x:c>
      <x:c r="N52" s="965" t="n">
        <x:f>(MIN(J52*1.01,Assumptions!$E$155)*Assumptions!$E$156+MAX(MIN(J52*1.01,Assumptions!$E$157)-Assumptions!$E$155,0)*Assumptions!$E$158+MAX(MIN(J52*1.01,Assumptions!$E$159)-Assumptions!$E$157,0)*Assumptions!$E$160+MAX(MIN(J52*1.01,Assumptions!$E$161)-Assumptions!$E$159,0)*Assumptions!$E$162+MAX(J52*1.01-Assumptions!$E$161,0)*Assumptions!$E$163+MIN(J52*1.01,Assumptions!$E$165)*Assumptions!$E$164)-(MIN(J52,Assumptions!$E$155)*Assumptions!$E$156+MAX(MIN(J52,Assumptions!$E$157)-Assumptions!$E$155,0)*Assumptions!$E$158+MAX(MIN(J52,Assumptions!$E$159)-Assumptions!$E$157,0)*Assumptions!$E$160+MAX(MIN(J52,Assumptions!$E$161)-Assumptions!$E$159,0)*Assumptions!$E$162+MAX(J52-Assumptions!$E$161,0)*Assumptions!$E$163+MIN(J52,Assumptions!$E$165)*Assumptions!$E$164)</x:f>
        <x:v>226.599083758063</x:v>
      </x:c>
      <x:c r="O52" s="26" t="str">
        <x:v>S34;S41;S42;S43;A18</x:v>
      </x:c>
      <x:c r="P52" s="26"/>
      <x:c r="Q52" s="26"/>
      <x:c r="R52" s="26"/>
      <x:c r="S52" s="26"/>
    </x:row>
    <x:row r="53">
      <x:c r="A53" s="26" t="n">
        <x:v>9</x:v>
      </x:c>
      <x:c r="B53" s="26" t="n">
        <x:v>29</x:v>
      </x:c>
      <x:c r="C53" s="26" t="str">
        <x:v>25–34</x:v>
      </x:c>
      <x:c r="D53" s="962" t="n">
        <x:f>Assumptions!$E$151</x:f>
        <x:v>34.88</x:v>
      </x:c>
      <x:c r="E53" s="963" t="n">
        <x:f>Assumptions!$E$150</x:f>
        <x:v>1.027</x:v>
      </x:c>
      <x:c r="F53" s="932" t="n">
        <x:f>Assumptions!$E$138</x:f>
        <x:v>37</x:v>
      </x:c>
      <x:c r="G53" s="932" t="n">
        <x:f>Assumptions!$E$139</x:f>
        <x:v>52</x:v>
      </x:c>
      <x:c r="H53" s="932" t="n">
        <x:f>Assumptions!$E$137</x:f>
        <x:v>0.85</x:v>
      </x:c>
      <x:c r="I53" s="963" t="n">
        <x:f>(1+Assumptions!$E$140)^(A53-1)</x:f>
        <x:v>1.040707043925437</x:v>
      </x:c>
      <x:c r="J53" s="167" t="n">
        <x:f>D53*E53*F53*G53*I53</x:f>
        <x:v>71726.63911081963</x:v>
      </x:c>
      <x:c r="K53" s="964" t="n">
        <x:f>1/(1+Assumptions!$E$15)^A53</x:f>
        <x:v>0.8367552658726585</x:v>
      </x:c>
      <x:c r="L53" s="964" t="n">
        <x:f>1/(1+Assumptions!$E$53)^A53</x:f>
        <x:v>0.7025867355788304</x:v>
      </x:c>
      <x:c r="M53" s="964" t="n">
        <x:f>1/(1+Assumptions!$E$16)^A53</x:f>
        <x:v>0.500248967131459</x:v>
      </x:c>
      <x:c r="N53" s="965" t="n">
        <x:f>(MIN(J53*1.01,Assumptions!$E$155)*Assumptions!$E$156+MAX(MIN(J53*1.01,Assumptions!$E$157)-Assumptions!$E$155,0)*Assumptions!$E$158+MAX(MIN(J53*1.01,Assumptions!$E$159)-Assumptions!$E$157,0)*Assumptions!$E$160+MAX(MIN(J53*1.01,Assumptions!$E$161)-Assumptions!$E$159,0)*Assumptions!$E$162+MAX(J53*1.01-Assumptions!$E$161,0)*Assumptions!$E$163+MIN(J53*1.01,Assumptions!$E$165)*Assumptions!$E$164)-(MIN(J53,Assumptions!$E$155)*Assumptions!$E$156+MAX(MIN(J53,Assumptions!$E$157)-Assumptions!$E$155,0)*Assumptions!$E$158+MAX(MIN(J53,Assumptions!$E$159)-Assumptions!$E$157,0)*Assumptions!$E$160+MAX(MIN(J53,Assumptions!$E$161)-Assumptions!$E$159,0)*Assumptions!$E$162+MAX(J53-Assumptions!$E$161,0)*Assumptions!$E$163+MIN(J53,Assumptions!$E$165)*Assumptions!$E$164)</x:f>
        <x:v>227.7320791768525</x:v>
      </x:c>
      <x:c r="O53" s="26" t="str">
        <x:v>S34;S41;S42;S43;A18</x:v>
      </x:c>
      <x:c r="P53" s="26"/>
      <x:c r="Q53" s="26"/>
      <x:c r="R53" s="26"/>
      <x:c r="S53" s="26"/>
    </x:row>
    <x:row r="54">
      <x:c r="A54" s="26" t="n">
        <x:v>10</x:v>
      </x:c>
      <x:c r="B54" s="26" t="n">
        <x:v>30</x:v>
      </x:c>
      <x:c r="C54" s="26" t="str">
        <x:v>25–34</x:v>
      </x:c>
      <x:c r="D54" s="962" t="n">
        <x:f>Assumptions!$E$151</x:f>
        <x:v>34.88</x:v>
      </x:c>
      <x:c r="E54" s="963" t="n">
        <x:f>Assumptions!$E$150</x:f>
        <x:v>1.027</x:v>
      </x:c>
      <x:c r="F54" s="932" t="n">
        <x:f>Assumptions!$E$138</x:f>
        <x:v>37</x:v>
      </x:c>
      <x:c r="G54" s="932" t="n">
        <x:f>Assumptions!$E$139</x:f>
        <x:v>52</x:v>
      </x:c>
      <x:c r="H54" s="932" t="n">
        <x:f>Assumptions!$E$137</x:f>
        <x:v>0.85</x:v>
      </x:c>
      <x:c r="I54" s="963" t="n">
        <x:f>(1+Assumptions!$E$140)^(A54-1)</x:f>
        <x:v>1.045910579145064</x:v>
      </x:c>
      <x:c r="J54" s="167" t="n">
        <x:f>D54*E54*F54*G54*I54</x:f>
        <x:v>72085.27230637372</x:v>
      </x:c>
      <x:c r="K54" s="964" t="n">
        <x:f>1/(1+Assumptions!$E$15)^A54</x:f>
        <x:v>0.8203482998751553</x:v>
      </x:c>
      <x:c r="L54" s="964" t="n">
        <x:f>1/(1+Assumptions!$E$53)^A54</x:f>
        <x:v>0.6755641688257985</x:v>
      </x:c>
      <x:c r="M54" s="964" t="n">
        <x:f>1/(1+Assumptions!$E$16)^A54</x:f>
        <x:v>0.46319348808468425</x:v>
      </x:c>
      <x:c r="N54" s="965" t="n">
        <x:f>(MIN(J54*1.01,Assumptions!$E$155)*Assumptions!$E$156+MAX(MIN(J54*1.01,Assumptions!$E$157)-Assumptions!$E$155,0)*Assumptions!$E$158+MAX(MIN(J54*1.01,Assumptions!$E$159)-Assumptions!$E$157,0)*Assumptions!$E$160+MAX(MIN(J54*1.01,Assumptions!$E$161)-Assumptions!$E$159,0)*Assumptions!$E$162+MAX(J54*1.01-Assumptions!$E$161,0)*Assumptions!$E$163+MIN(J54*1.01,Assumptions!$E$165)*Assumptions!$E$164)-(MIN(J54,Assumptions!$E$155)*Assumptions!$E$156+MAX(MIN(J54,Assumptions!$E$157)-Assumptions!$E$155,0)*Assumptions!$E$158+MAX(MIN(J54,Assumptions!$E$159)-Assumptions!$E$157,0)*Assumptions!$E$160+MAX(MIN(J54,Assumptions!$E$161)-Assumptions!$E$159,0)*Assumptions!$E$162+MAX(J54-Assumptions!$E$161,0)*Assumptions!$E$163+MIN(J54,Assumptions!$E$165)*Assumptions!$E$164)</x:f>
        <x:v>228.87073957273788</x:v>
      </x:c>
      <x:c r="O54" s="26" t="str">
        <x:v>S34;S41;S42;S43;A18</x:v>
      </x:c>
      <x:c r="P54" s="26"/>
      <x:c r="Q54" s="26"/>
      <x:c r="R54" s="26"/>
      <x:c r="S54" s="26"/>
    </x:row>
    <x:row r="55">
      <x:c r="A55" s="26" t="n">
        <x:v>11</x:v>
      </x:c>
      <x:c r="B55" s="26" t="n">
        <x:v>31</x:v>
      </x:c>
      <x:c r="C55" s="26" t="str">
        <x:v>25–34</x:v>
      </x:c>
      <x:c r="D55" s="962" t="n">
        <x:f>Assumptions!$E$151</x:f>
        <x:v>34.88</x:v>
      </x:c>
      <x:c r="E55" s="963" t="n">
        <x:f>Assumptions!$E$150</x:f>
        <x:v>1.027</x:v>
      </x:c>
      <x:c r="F55" s="932" t="n">
        <x:f>Assumptions!$E$138</x:f>
        <x:v>37</x:v>
      </x:c>
      <x:c r="G55" s="932" t="n">
        <x:f>Assumptions!$E$139</x:f>
        <x:v>52</x:v>
      </x:c>
      <x:c r="H55" s="932" t="n">
        <x:f>Assumptions!$E$137</x:f>
        <x:v>0.85</x:v>
      </x:c>
      <x:c r="I55" s="963" t="n">
        <x:f>(1+Assumptions!$E$140)^(A55-1)</x:f>
        <x:v>1.0511401320407892</x:v>
      </x:c>
      <x:c r="J55" s="167" t="n">
        <x:f>D55*E55*F55*G55*I55</x:f>
        <x:v>72445.69866790557</x:v>
      </x:c>
      <x:c r="K55" s="964" t="n">
        <x:f>1/(1+Assumptions!$E$15)^A55</x:f>
        <x:v>0.8042630390932897</x:v>
      </x:c>
      <x:c r="L55" s="964" t="n">
        <x:f>1/(1+Assumptions!$E$53)^A55</x:f>
        <x:v>0.6495809315632679</x:v>
      </x:c>
      <x:c r="M55" s="964" t="n">
        <x:f>1/(1+Assumptions!$E$16)^A55</x:f>
        <x:v>0.4288828593376706</x:v>
      </x:c>
      <x:c r="N55" s="965" t="n">
        <x:f>(MIN(J55*1.01,Assumptions!$E$155)*Assumptions!$E$156+MAX(MIN(J55*1.01,Assumptions!$E$157)-Assumptions!$E$155,0)*Assumptions!$E$158+MAX(MIN(J55*1.01,Assumptions!$E$159)-Assumptions!$E$157,0)*Assumptions!$E$160+MAX(MIN(J55*1.01,Assumptions!$E$161)-Assumptions!$E$159,0)*Assumptions!$E$162+MAX(J55*1.01-Assumptions!$E$161,0)*Assumptions!$E$163+MIN(J55*1.01,Assumptions!$E$165)*Assumptions!$E$164)-(MIN(J55,Assumptions!$E$155)*Assumptions!$E$156+MAX(MIN(J55,Assumptions!$E$157)-Assumptions!$E$155,0)*Assumptions!$E$158+MAX(MIN(J55,Assumptions!$E$159)-Assumptions!$E$157,0)*Assumptions!$E$160+MAX(MIN(J55,Assumptions!$E$161)-Assumptions!$E$159,0)*Assumptions!$E$162+MAX(J55-Assumptions!$E$161,0)*Assumptions!$E$163+MIN(J55,Assumptions!$E$165)*Assumptions!$E$164)</x:f>
        <x:v>230.0150932705983</x:v>
      </x:c>
      <x:c r="O55" s="26" t="str">
        <x:v>S34;S41;S42;S43;A18</x:v>
      </x:c>
      <x:c r="P55" s="26"/>
      <x:c r="Q55" s="26"/>
      <x:c r="R55" s="26"/>
      <x:c r="S55" s="26"/>
    </x:row>
    <x:row r="56">
      <x:c r="A56" s="26" t="n">
        <x:v>12</x:v>
      </x:c>
      <x:c r="B56" s="26" t="n">
        <x:v>32</x:v>
      </x:c>
      <x:c r="C56" s="26" t="str">
        <x:v>25–34</x:v>
      </x:c>
      <x:c r="D56" s="962" t="n">
        <x:f>Assumptions!$E$151</x:f>
        <x:v>34.88</x:v>
      </x:c>
      <x:c r="E56" s="963" t="n">
        <x:f>Assumptions!$E$150</x:f>
        <x:v>1.027</x:v>
      </x:c>
      <x:c r="F56" s="932" t="n">
        <x:f>Assumptions!$E$138</x:f>
        <x:v>37</x:v>
      </x:c>
      <x:c r="G56" s="932" t="n">
        <x:f>Assumptions!$E$139</x:f>
        <x:v>52</x:v>
      </x:c>
      <x:c r="H56" s="932" t="n">
        <x:f>Assumptions!$E$137</x:f>
        <x:v>0.85</x:v>
      </x:c>
      <x:c r="I56" s="963" t="n">
        <x:f>(1+Assumptions!$E$140)^(A56-1)</x:f>
        <x:v>1.056395832700993</x:v>
      </x:c>
      <x:c r="J56" s="167" t="n">
        <x:f>D56*E56*F56*G56*I56</x:f>
        <x:v>72807.9271612451</x:v>
      </x:c>
      <x:c r="K56" s="964" t="n">
        <x:f>1/(1+Assumptions!$E$15)^A56</x:f>
        <x:v>0.7884931755816564</x:v>
      </x:c>
      <x:c r="L56" s="964" t="n">
        <x:f>1/(1+Assumptions!$E$53)^A56</x:f>
        <x:v>0.6245970495800651</x:v>
      </x:c>
      <x:c r="M56" s="964" t="n">
        <x:f>1/(1+Assumptions!$E$16)^A56</x:f>
        <x:v>0.39711375864599124</x:v>
      </x:c>
      <x:c r="N56" s="965" t="n">
        <x:f>(MIN(J56*1.01,Assumptions!$E$155)*Assumptions!$E$156+MAX(MIN(J56*1.01,Assumptions!$E$157)-Assumptions!$E$155,0)*Assumptions!$E$158+MAX(MIN(J56*1.01,Assumptions!$E$159)-Assumptions!$E$157,0)*Assumptions!$E$160+MAX(MIN(J56*1.01,Assumptions!$E$161)-Assumptions!$E$159,0)*Assumptions!$E$162+MAX(J56*1.01-Assumptions!$E$161,0)*Assumptions!$E$163+MIN(J56*1.01,Assumptions!$E$165)*Assumptions!$E$164)-(MIN(J56,Assumptions!$E$155)*Assumptions!$E$156+MAX(MIN(J56,Assumptions!$E$157)-Assumptions!$E$155,0)*Assumptions!$E$158+MAX(MIN(J56,Assumptions!$E$159)-Assumptions!$E$157,0)*Assumptions!$E$160+MAX(MIN(J56,Assumptions!$E$161)-Assumptions!$E$159,0)*Assumptions!$E$162+MAX(J56-Assumptions!$E$161,0)*Assumptions!$E$163+MIN(J56,Assumptions!$E$165)*Assumptions!$E$164)</x:f>
        <x:v>231.165168736954</x:v>
      </x:c>
      <x:c r="O56" s="26" t="str">
        <x:v>S34;S41;S42;S43;A18</x:v>
      </x:c>
      <x:c r="P56" s="26"/>
      <x:c r="Q56" s="26"/>
      <x:c r="R56" s="26"/>
      <x:c r="S56" s="26"/>
    </x:row>
    <x:row r="57">
      <x:c r="A57" s="26" t="n">
        <x:v>13</x:v>
      </x:c>
      <x:c r="B57" s="26" t="n">
        <x:v>33</x:v>
      </x:c>
      <x:c r="C57" s="26" t="str">
        <x:v>25–34</x:v>
      </x:c>
      <x:c r="D57" s="962" t="n">
        <x:f>Assumptions!$E$151</x:f>
        <x:v>34.88</x:v>
      </x:c>
      <x:c r="E57" s="963" t="n">
        <x:f>Assumptions!$E$150</x:f>
        <x:v>1.027</x:v>
      </x:c>
      <x:c r="F57" s="932" t="n">
        <x:f>Assumptions!$E$138</x:f>
        <x:v>37</x:v>
      </x:c>
      <x:c r="G57" s="932" t="n">
        <x:f>Assumptions!$E$139</x:f>
        <x:v>52</x:v>
      </x:c>
      <x:c r="H57" s="932" t="n">
        <x:f>Assumptions!$E$137</x:f>
        <x:v>0.85</x:v>
      </x:c>
      <x:c r="I57" s="963" t="n">
        <x:f>(1+Assumptions!$E$140)^(A57-1)</x:f>
        <x:v>1.0616778118644976</x:v>
      </x:c>
      <x:c r="J57" s="167" t="n">
        <x:f>D57*E57*F57*G57*I57</x:f>
        <x:v>73171.9667970513</x:v>
      </x:c>
      <x:c r="K57" s="964" t="n">
        <x:f>1/(1+Assumptions!$E$15)^A57</x:f>
        <x:v>0.7730325250800554</x:v>
      </x:c>
      <x:c r="L57" s="964" t="n">
        <x:f>1/(1+Assumptions!$E$53)^A57</x:f>
        <x:v>0.600574086134678</x:v>
      </x:c>
      <x:c r="M57" s="964" t="n">
        <x:f>1/(1+Assumptions!$E$16)^A57</x:f>
        <x:v>0.3676979246722141</x:v>
      </x:c>
      <x:c r="N57" s="965" t="n">
        <x:f>(MIN(J57*1.01,Assumptions!$E$155)*Assumptions!$E$156+MAX(MIN(J57*1.01,Assumptions!$E$157)-Assumptions!$E$155,0)*Assumptions!$E$158+MAX(MIN(J57*1.01,Assumptions!$E$159)-Assumptions!$E$157,0)*Assumptions!$E$160+MAX(MIN(J57*1.01,Assumptions!$E$161)-Assumptions!$E$159,0)*Assumptions!$E$162+MAX(J57*1.01-Assumptions!$E$161,0)*Assumptions!$E$163+MIN(J57*1.01,Assumptions!$E$165)*Assumptions!$E$164)-(MIN(J57,Assumptions!$E$155)*Assumptions!$E$156+MAX(MIN(J57,Assumptions!$E$157)-Assumptions!$E$155,0)*Assumptions!$E$158+MAX(MIN(J57,Assumptions!$E$159)-Assumptions!$E$157,0)*Assumptions!$E$160+MAX(MIN(J57,Assumptions!$E$161)-Assumptions!$E$159,0)*Assumptions!$E$162+MAX(J57-Assumptions!$E$161,0)*Assumptions!$E$163+MIN(J57,Assumptions!$E$165)*Assumptions!$E$164)</x:f>
        <x:v>232.3209945806393</x:v>
      </x:c>
      <x:c r="O57" s="26" t="str">
        <x:v>S34;S41;S42;S43;A18</x:v>
      </x:c>
      <x:c r="P57" s="26"/>
      <x:c r="Q57" s="26"/>
      <x:c r="R57" s="26"/>
      <x:c r="S57" s="26"/>
    </x:row>
    <x:row r="58">
      <x:c r="A58" s="26" t="n">
        <x:v>14</x:v>
      </x:c>
      <x:c r="B58" s="26" t="n">
        <x:v>34</x:v>
      </x:c>
      <x:c r="C58" s="26" t="str">
        <x:v>25–34</x:v>
      </x:c>
      <x:c r="D58" s="962" t="n">
        <x:f>Assumptions!$E$151</x:f>
        <x:v>34.88</x:v>
      </x:c>
      <x:c r="E58" s="963" t="n">
        <x:f>Assumptions!$E$150</x:f>
        <x:v>1.027</x:v>
      </x:c>
      <x:c r="F58" s="932" t="n">
        <x:f>Assumptions!$E$138</x:f>
        <x:v>37</x:v>
      </x:c>
      <x:c r="G58" s="932" t="n">
        <x:f>Assumptions!$E$139</x:f>
        <x:v>52</x:v>
      </x:c>
      <x:c r="H58" s="932" t="n">
        <x:f>Assumptions!$E$137</x:f>
        <x:v>0.85</x:v>
      </x:c>
      <x:c r="I58" s="963" t="n">
        <x:f>(1+Assumptions!$E$140)^(A58-1)</x:f>
        <x:v>1.06698620092382</x:v>
      </x:c>
      <x:c r="J58" s="167" t="n">
        <x:f>D58*E58*F58*G58*I58</x:f>
        <x:v>73537.82663103654</x:v>
      </x:c>
      <x:c r="K58" s="964" t="n">
        <x:f>1/(1+Assumptions!$E$15)^A58</x:f>
        <x:v>0.7578750245882895</x:v>
      </x:c>
      <x:c r="L58" s="964" t="n">
        <x:f>1/(1+Assumptions!$E$53)^A58</x:f>
        <x:v>0.5774750828218058</x:v>
      </x:c>
      <x:c r="M58" s="964" t="n">
        <x:f>1/(1+Assumptions!$E$16)^A58</x:f>
        <x:v>0.3404610413631612</x:v>
      </x:c>
      <x:c r="N58" s="965" t="n">
        <x:f>(MIN(J58*1.01,Assumptions!$E$155)*Assumptions!$E$156+MAX(MIN(J58*1.01,Assumptions!$E$157)-Assumptions!$E$155,0)*Assumptions!$E$158+MAX(MIN(J58*1.01,Assumptions!$E$159)-Assumptions!$E$157,0)*Assumptions!$E$160+MAX(MIN(J58*1.01,Assumptions!$E$161)-Assumptions!$E$159,0)*Assumptions!$E$162+MAX(J58*1.01-Assumptions!$E$161,0)*Assumptions!$E$163+MIN(J58*1.01,Assumptions!$E$165)*Assumptions!$E$164)-(MIN(J58,Assumptions!$E$155)*Assumptions!$E$156+MAX(MIN(J58,Assumptions!$E$157)-Assumptions!$E$155,0)*Assumptions!$E$158+MAX(MIN(J58,Assumptions!$E$159)-Assumptions!$E$157,0)*Assumptions!$E$160+MAX(MIN(J58,Assumptions!$E$161)-Assumptions!$E$159,0)*Assumptions!$E$162+MAX(J58-Assumptions!$E$161,0)*Assumptions!$E$163+MIN(J58,Assumptions!$E$165)*Assumptions!$E$164)</x:f>
        <x:v>233.48259955354115</x:v>
      </x:c>
      <x:c r="O58" s="26" t="str">
        <x:v>S34;S41;S42;S43;A18</x:v>
      </x:c>
      <x:c r="P58" s="26"/>
      <x:c r="Q58" s="26"/>
      <x:c r="R58" s="26"/>
      <x:c r="S58" s="26"/>
    </x:row>
    <x:row r="59">
      <x:c r="A59" s="26" t="n">
        <x:v>15</x:v>
      </x:c>
      <x:c r="B59" s="26" t="n">
        <x:v>35</x:v>
      </x:c>
      <x:c r="C59" s="26" t="str">
        <x:v>35–44</x:v>
      </x:c>
      <x:c r="D59" s="962" t="n">
        <x:f>Assumptions!$E$152</x:f>
        <x:v>39.45</x:v>
      </x:c>
      <x:c r="E59" s="963" t="n">
        <x:f>Assumptions!$E$150</x:f>
        <x:v>1.027</x:v>
      </x:c>
      <x:c r="F59" s="932" t="n">
        <x:f>Assumptions!$E$138</x:f>
        <x:v>37</x:v>
      </x:c>
      <x:c r="G59" s="932" t="n">
        <x:f>Assumptions!$E$139</x:f>
        <x:v>52</x:v>
      </x:c>
      <x:c r="H59" s="932" t="n">
        <x:f>Assumptions!$E$137</x:f>
        <x:v>0.85</x:v>
      </x:c>
      <x:c r="I59" s="963" t="n">
        <x:f>(1+Assumptions!$E$140)^(A59-1)</x:f>
        <x:v>1.072321131928439</x:v>
      </x:c>
      <x:c r="J59" s="167" t="n">
        <x:f>D59*E59*F59*G59*I59</x:f>
        <x:v>83588.66390187395</x:v>
      </x:c>
      <x:c r="K59" s="964" t="n">
        <x:f>1/(1+Assumptions!$E$15)^A59</x:f>
        <x:v>0.7430147299885193</x:v>
      </x:c>
      <x:c r="L59" s="964" t="n">
        <x:f>1/(1+Assumptions!$E$53)^A59</x:f>
        <x:v>0.5552645027132748</x:v>
      </x:c>
      <x:c r="M59" s="964" t="n">
        <x:f>1/(1+Assumptions!$E$16)^A59</x:f>
        <x:v>0.31524170496588994</x:v>
      </x:c>
      <x:c r="N59" s="965" t="n">
        <x:f>(MIN(J59*1.01,Assumptions!$E$155)*Assumptions!$E$156+MAX(MIN(J59*1.01,Assumptions!$E$157)-Assumptions!$E$155,0)*Assumptions!$E$158+MAX(MIN(J59*1.01,Assumptions!$E$159)-Assumptions!$E$157,0)*Assumptions!$E$160+MAX(MIN(J59*1.01,Assumptions!$E$161)-Assumptions!$E$159,0)*Assumptions!$E$162+MAX(J59*1.01-Assumptions!$E$161,0)*Assumptions!$E$163+MIN(J59*1.01,Assumptions!$E$165)*Assumptions!$E$164)-(MIN(J59,Assumptions!$E$155)*Assumptions!$E$156+MAX(MIN(J59,Assumptions!$E$157)-Assumptions!$E$155,0)*Assumptions!$E$158+MAX(MIN(J59,Assumptions!$E$159)-Assumptions!$E$157,0)*Assumptions!$E$160+MAX(MIN(J59,Assumptions!$E$161)-Assumptions!$E$159,0)*Assumptions!$E$162+MAX(J59-Assumptions!$E$161,0)*Assumptions!$E$163+MIN(J59,Assumptions!$E$165)*Assumptions!$E$164)</x:f>
        <x:v>290.47060705901094</x:v>
      </x:c>
      <x:c r="O59" s="26" t="str">
        <x:v>S34;S41;S42;S43;A18</x:v>
      </x:c>
      <x:c r="P59" s="26"/>
      <x:c r="Q59" s="26"/>
      <x:c r="R59" s="26"/>
      <x:c r="S59" s="26"/>
    </x:row>
    <x:row r="60">
      <x:c r="A60" s="26" t="n">
        <x:v>16</x:v>
      </x:c>
      <x:c r="B60" s="26" t="n">
        <x:v>36</x:v>
      </x:c>
      <x:c r="C60" s="26" t="str">
        <x:v>35–44</x:v>
      </x:c>
      <x:c r="D60" s="962" t="n">
        <x:f>Assumptions!$E$152</x:f>
        <x:v>39.45</x:v>
      </x:c>
      <x:c r="E60" s="963" t="n">
        <x:f>Assumptions!$E$150</x:f>
        <x:v>1.027</x:v>
      </x:c>
      <x:c r="F60" s="932" t="n">
        <x:f>Assumptions!$E$138</x:f>
        <x:v>37</x:v>
      </x:c>
      <x:c r="G60" s="932" t="n">
        <x:f>Assumptions!$E$139</x:f>
        <x:v>52</x:v>
      </x:c>
      <x:c r="H60" s="932" t="n">
        <x:f>Assumptions!$E$137</x:f>
        <x:v>0.85</x:v>
      </x:c>
      <x:c r="I60" s="963" t="n">
        <x:f>(1+Assumptions!$E$140)^(A60-1)</x:f>
        <x:v>1.0776827375880809</x:v>
      </x:c>
      <x:c r="J60" s="167" t="n">
        <x:f>D60*E60*F60*G60*I60</x:f>
        <x:v>84006.6072213833</x:v>
      </x:c>
      <x:c r="K60" s="964" t="n">
        <x:f>1/(1+Assumptions!$E$15)^A60</x:f>
        <x:v>0.7284458137142344</x:v>
      </x:c>
      <x:c r="L60" s="964" t="n">
        <x:f>1/(1+Assumptions!$E$53)^A60</x:f>
        <x:v>0.533908175685841</x:v>
      </x:c>
      <x:c r="M60" s="964" t="n">
        <x:f>1/(1+Assumptions!$E$16)^A60</x:f>
        <x:v>0.2918904675610092</x:v>
      </x:c>
      <x:c r="N60" s="965" t="n">
        <x:f>(MIN(J60*1.01,Assumptions!$E$155)*Assumptions!$E$156+MAX(MIN(J60*1.01,Assumptions!$E$157)-Assumptions!$E$155,0)*Assumptions!$E$158+MAX(MIN(J60*1.01,Assumptions!$E$159)-Assumptions!$E$157,0)*Assumptions!$E$160+MAX(MIN(J60*1.01,Assumptions!$E$161)-Assumptions!$E$159,0)*Assumptions!$E$162+MAX(J60*1.01-Assumptions!$E$161,0)*Assumptions!$E$163+MIN(J60*1.01,Assumptions!$E$165)*Assumptions!$E$164)-(MIN(J60,Assumptions!$E$155)*Assumptions!$E$156+MAX(MIN(J60,Assumptions!$E$157)-Assumptions!$E$155,0)*Assumptions!$E$158+MAX(MIN(J60,Assumptions!$E$159)-Assumptions!$E$157,0)*Assumptions!$E$160+MAX(MIN(J60,Assumptions!$E$161)-Assumptions!$E$159,0)*Assumptions!$E$162+MAX(J60-Assumptions!$E$161,0)*Assumptions!$E$163+MIN(J60,Assumptions!$E$165)*Assumptions!$E$164)</x:f>
        <x:v>291.92296009430356</x:v>
      </x:c>
      <x:c r="O60" s="26" t="str">
        <x:v>S34;S41;S42;S43;A18</x:v>
      </x:c>
      <x:c r="P60" s="26"/>
      <x:c r="Q60" s="26"/>
      <x:c r="R60" s="26"/>
      <x:c r="S60" s="26"/>
    </x:row>
    <x:row r="61">
      <x:c r="A61" s="26" t="n">
        <x:v>17</x:v>
      </x:c>
      <x:c r="B61" s="26" t="n">
        <x:v>37</x:v>
      </x:c>
      <x:c r="C61" s="26" t="str">
        <x:v>35–44</x:v>
      </x:c>
      <x:c r="D61" s="962" t="n">
        <x:f>Assumptions!$E$152</x:f>
        <x:v>39.45</x:v>
      </x:c>
      <x:c r="E61" s="963" t="n">
        <x:f>Assumptions!$E$150</x:f>
        <x:v>1.027</x:v>
      </x:c>
      <x:c r="F61" s="932" t="n">
        <x:f>Assumptions!$E$138</x:f>
        <x:v>37</x:v>
      </x:c>
      <x:c r="G61" s="932" t="n">
        <x:f>Assumptions!$E$139</x:f>
        <x:v>52</x:v>
      </x:c>
      <x:c r="H61" s="932" t="n">
        <x:f>Assumptions!$E$137</x:f>
        <x:v>0.85</x:v>
      </x:c>
      <x:c r="I61" s="963" t="n">
        <x:f>(1+Assumptions!$E$140)^(A61-1)</x:f>
        <x:v>1.0830711512760212</x:v>
      </x:c>
      <x:c r="J61" s="167" t="n">
        <x:f>D61*E61*F61*G61*I61</x:f>
        <x:v>84426.6402574902</x:v>
      </x:c>
      <x:c r="K61" s="964" t="n">
        <x:f>1/(1+Assumptions!$E$15)^A61</x:f>
        <x:v>0.7141625624649357</x:v>
      </x:c>
      <x:c r="L61" s="964" t="n">
        <x:f>1/(1+Assumptions!$E$53)^A61</x:f>
        <x:v>0.5133732458517702</x:v>
      </x:c>
      <x:c r="M61" s="964" t="n">
        <x:f>1/(1+Assumptions!$E$16)^A61</x:f>
        <x:v>0.27026895144537894</x:v>
      </x:c>
      <x:c r="N61" s="965" t="n">
        <x:f>(MIN(J61*1.01,Assumptions!$E$155)*Assumptions!$E$156+MAX(MIN(J61*1.01,Assumptions!$E$157)-Assumptions!$E$155,0)*Assumptions!$E$158+MAX(MIN(J61*1.01,Assumptions!$E$159)-Assumptions!$E$157,0)*Assumptions!$E$160+MAX(MIN(J61*1.01,Assumptions!$E$161)-Assumptions!$E$159,0)*Assumptions!$E$162+MAX(J61*1.01-Assumptions!$E$161,0)*Assumptions!$E$163+MIN(J61*1.01,Assumptions!$E$165)*Assumptions!$E$164)-(MIN(J61,Assumptions!$E$155)*Assumptions!$E$156+MAX(MIN(J61,Assumptions!$E$157)-Assumptions!$E$155,0)*Assumptions!$E$158+MAX(MIN(J61,Assumptions!$E$159)-Assumptions!$E$157,0)*Assumptions!$E$160+MAX(MIN(J61,Assumptions!$E$161)-Assumptions!$E$159,0)*Assumptions!$E$162+MAX(J61-Assumptions!$E$161,0)*Assumptions!$E$163+MIN(J61,Assumptions!$E$165)*Assumptions!$E$164)</x:f>
        <x:v>293.38257489477473</x:v>
      </x:c>
      <x:c r="O61" s="26" t="str">
        <x:v>S34;S41;S42;S43;A18</x:v>
      </x:c>
      <x:c r="P61" s="26"/>
      <x:c r="Q61" s="26"/>
      <x:c r="R61" s="26"/>
      <x:c r="S61" s="26"/>
    </x:row>
    <x:row r="62">
      <x:c r="A62" s="26" t="n">
        <x:v>18</x:v>
      </x:c>
      <x:c r="B62" s="26" t="n">
        <x:v>38</x:v>
      </x:c>
      <x:c r="C62" s="26" t="str">
        <x:v>35–44</x:v>
      </x:c>
      <x:c r="D62" s="962" t="n">
        <x:f>Assumptions!$E$152</x:f>
        <x:v>39.45</x:v>
      </x:c>
      <x:c r="E62" s="963" t="n">
        <x:f>Assumptions!$E$150</x:f>
        <x:v>1.027</x:v>
      </x:c>
      <x:c r="F62" s="932" t="n">
        <x:f>Assumptions!$E$138</x:f>
        <x:v>37</x:v>
      </x:c>
      <x:c r="G62" s="932" t="n">
        <x:f>Assumptions!$E$139</x:f>
        <x:v>52</x:v>
      </x:c>
      <x:c r="H62" s="932" t="n">
        <x:f>Assumptions!$E$137</x:f>
        <x:v>0.85</x:v>
      </x:c>
      <x:c r="I62" s="963" t="n">
        <x:f>(1+Assumptions!$E$140)^(A62-1)</x:f>
        <x:v>1.0884865070324012</x:v>
      </x:c>
      <x:c r="J62" s="167" t="n">
        <x:f>D62*E62*F62*G62*I62</x:f>
        <x:v>84848.77345877765</x:v>
      </x:c>
      <x:c r="K62" s="964" t="n">
        <x:f>1/(1+Assumptions!$E$15)^A62</x:f>
        <x:v>0.7001593749656233</x:v>
      </x:c>
      <x:c r="L62" s="964" t="n">
        <x:f>1/(1+Assumptions!$E$53)^A62</x:f>
        <x:v>0.4936281210113175</x:v>
      </x:c>
      <x:c r="M62" s="964" t="n">
        <x:f>1/(1+Assumptions!$E$16)^A62</x:f>
        <x:v>0.25024902911609154</x:v>
      </x:c>
      <x:c r="N62" s="965" t="n">
        <x:f>(MIN(J62*1.01,Assumptions!$E$155)*Assumptions!$E$156+MAX(MIN(J62*1.01,Assumptions!$E$157)-Assumptions!$E$155,0)*Assumptions!$E$158+MAX(MIN(J62*1.01,Assumptions!$E$159)-Assumptions!$E$157,0)*Assumptions!$E$160+MAX(MIN(J62*1.01,Assumptions!$E$161)-Assumptions!$E$159,0)*Assumptions!$E$162+MAX(J62*1.01-Assumptions!$E$161,0)*Assumptions!$E$163+MIN(J62*1.01,Assumptions!$E$165)*Assumptions!$E$164)-(MIN(J62,Assumptions!$E$155)*Assumptions!$E$156+MAX(MIN(J62,Assumptions!$E$157)-Assumptions!$E$155,0)*Assumptions!$E$158+MAX(MIN(J62,Assumptions!$E$159)-Assumptions!$E$157,0)*Assumptions!$E$160+MAX(MIN(J62,Assumptions!$E$161)-Assumptions!$E$159,0)*Assumptions!$E$162+MAX(J62-Assumptions!$E$161,0)*Assumptions!$E$163+MIN(J62,Assumptions!$E$165)*Assumptions!$E$164)</x:f>
        <x:v>294.8494877692501</x:v>
      </x:c>
      <x:c r="O62" s="26" t="str">
        <x:v>S34;S41;S42;S43;A18</x:v>
      </x:c>
      <x:c r="P62" s="26"/>
      <x:c r="Q62" s="26"/>
      <x:c r="R62" s="26"/>
      <x:c r="S62" s="26"/>
    </x:row>
    <x:row r="63">
      <x:c r="A63" s="26" t="n">
        <x:v>19</x:v>
      </x:c>
      <x:c r="B63" s="26" t="n">
        <x:v>39</x:v>
      </x:c>
      <x:c r="C63" s="26" t="str">
        <x:v>35–44</x:v>
      </x:c>
      <x:c r="D63" s="962" t="n">
        <x:f>Assumptions!$E$152</x:f>
        <x:v>39.45</x:v>
      </x:c>
      <x:c r="E63" s="963" t="n">
        <x:f>Assumptions!$E$150</x:f>
        <x:v>1.027</x:v>
      </x:c>
      <x:c r="F63" s="932" t="n">
        <x:f>Assumptions!$E$138</x:f>
        <x:v>37</x:v>
      </x:c>
      <x:c r="G63" s="932" t="n">
        <x:f>Assumptions!$E$139</x:f>
        <x:v>52</x:v>
      </x:c>
      <x:c r="H63" s="932" t="n">
        <x:f>Assumptions!$E$137</x:f>
        <x:v>0.85</x:v>
      </x:c>
      <x:c r="I63" s="963" t="n">
        <x:f>(1+Assumptions!$E$140)^(A63-1)</x:f>
        <x:v>1.0939289395675629</x:v>
      </x:c>
      <x:c r="J63" s="167" t="n">
        <x:f>D63*E63*F63*G63*I63</x:f>
        <x:v>85273.01732607151</x:v>
      </x:c>
      <x:c r="K63" s="964" t="n">
        <x:f>1/(1+Assumptions!$E$15)^A63</x:f>
        <x:v>0.686430759770219</x:v>
      </x:c>
      <x:c r="L63" s="964" t="n">
        <x:f>1/(1+Assumptions!$E$53)^A63</x:f>
        <x:v>0.47464242404934376</x:v>
      </x:c>
      <x:c r="M63" s="964" t="n">
        <x:f>1/(1+Assumptions!$E$16)^A63</x:f>
        <x:v>0.23171206399638106</x:v>
      </x:c>
      <x:c r="N63" s="965" t="n">
        <x:f>(MIN(J63*1.01,Assumptions!$E$155)*Assumptions!$E$156+MAX(MIN(J63*1.01,Assumptions!$E$157)-Assumptions!$E$155,0)*Assumptions!$E$158+MAX(MIN(J63*1.01,Assumptions!$E$159)-Assumptions!$E$157,0)*Assumptions!$E$160+MAX(MIN(J63*1.01,Assumptions!$E$161)-Assumptions!$E$159,0)*Assumptions!$E$162+MAX(J63*1.01-Assumptions!$E$161,0)*Assumptions!$E$163+MIN(J63*1.01,Assumptions!$E$165)*Assumptions!$E$164)-(MIN(J63,Assumptions!$E$155)*Assumptions!$E$156+MAX(MIN(J63,Assumptions!$E$157)-Assumptions!$E$155,0)*Assumptions!$E$158+MAX(MIN(J63,Assumptions!$E$159)-Assumptions!$E$157,0)*Assumptions!$E$160+MAX(MIN(J63,Assumptions!$E$161)-Assumptions!$E$159,0)*Assumptions!$E$162+MAX(J63-Assumptions!$E$161,0)*Assumptions!$E$163+MIN(J63,Assumptions!$E$165)*Assumptions!$E$164)</x:f>
        <x:v>296.3237352080978</x:v>
      </x:c>
      <x:c r="O63" s="26" t="str">
        <x:v>S34;S41;S42;S43;A18</x:v>
      </x:c>
      <x:c r="P63" s="26"/>
      <x:c r="Q63" s="26"/>
      <x:c r="R63" s="26"/>
      <x:c r="S63" s="26"/>
    </x:row>
    <x:row r="64">
      <x:c r="A64" s="26" t="n">
        <x:v>20</x:v>
      </x:c>
      <x:c r="B64" s="26" t="n">
        <x:v>40</x:v>
      </x:c>
      <x:c r="C64" s="26" t="str">
        <x:v>35–44</x:v>
      </x:c>
      <x:c r="D64" s="962" t="n">
        <x:f>Assumptions!$E$152</x:f>
        <x:v>39.45</x:v>
      </x:c>
      <x:c r="E64" s="963" t="n">
        <x:f>Assumptions!$E$150</x:f>
        <x:v>1.027</x:v>
      </x:c>
      <x:c r="F64" s="932" t="n">
        <x:f>Assumptions!$E$138</x:f>
        <x:v>37</x:v>
      </x:c>
      <x:c r="G64" s="932" t="n">
        <x:f>Assumptions!$E$139</x:f>
        <x:v>52</x:v>
      </x:c>
      <x:c r="H64" s="932" t="n">
        <x:f>Assumptions!$E$137</x:f>
        <x:v>0.85</x:v>
      </x:c>
      <x:c r="I64" s="963" t="n">
        <x:f>(1+Assumptions!$E$140)^(A64-1)</x:f>
        <x:v>1.0993985842654006</x:v>
      </x:c>
      <x:c r="J64" s="167" t="n">
        <x:f>D64*E64*F64*G64*I64</x:f>
        <x:v>85699.38241270186</x:v>
      </x:c>
      <x:c r="K64" s="964" t="n">
        <x:f>1/(1+Assumptions!$E$15)^A64</x:f>
        <x:v>0.6729713331080578</x:v>
      </x:c>
      <x:c r="L64" s="964" t="n">
        <x:f>1/(1+Assumptions!$E$53)^A64</x:f>
        <x:v>0.45638694620129205</x:v>
      </x:c>
      <x:c r="M64" s="964" t="n">
        <x:f>1/(1+Assumptions!$E$16)^A64</x:f>
        <x:v>0.21454820740405653</x:v>
      </x:c>
      <x:c r="N64" s="965" t="n">
        <x:f>(MIN(J64*1.01,Assumptions!$E$155)*Assumptions!$E$156+MAX(MIN(J64*1.01,Assumptions!$E$157)-Assumptions!$E$155,0)*Assumptions!$E$158+MAX(MIN(J64*1.01,Assumptions!$E$159)-Assumptions!$E$157,0)*Assumptions!$E$160+MAX(MIN(J64*1.01,Assumptions!$E$161)-Assumptions!$E$159,0)*Assumptions!$E$162+MAX(J64*1.01-Assumptions!$E$161,0)*Assumptions!$E$163+MIN(J64*1.01,Assumptions!$E$165)*Assumptions!$E$164)-(MIN(J64,Assumptions!$E$155)*Assumptions!$E$156+MAX(MIN(J64,Assumptions!$E$157)-Assumptions!$E$155,0)*Assumptions!$E$158+MAX(MIN(J64,Assumptions!$E$159)-Assumptions!$E$157,0)*Assumptions!$E$160+MAX(MIN(J64,Assumptions!$E$161)-Assumptions!$E$159,0)*Assumptions!$E$162+MAX(J64-Assumptions!$E$161,0)*Assumptions!$E$163+MIN(J64,Assumptions!$E$165)*Assumptions!$E$164)</x:f>
        <x:v>297.80535388413773</x:v>
      </x:c>
      <x:c r="O64" s="26" t="str">
        <x:v>S34;S41;S42;S43;A18</x:v>
      </x:c>
      <x:c r="P64" s="26"/>
      <x:c r="Q64" s="26"/>
      <x:c r="R64" s="26"/>
      <x:c r="S64" s="26"/>
    </x:row>
    <x:row r="65">
      <x:c r="A65" s="26" t="n">
        <x:v>21</x:v>
      </x:c>
      <x:c r="B65" s="26" t="n">
        <x:v>41</x:v>
      </x:c>
      <x:c r="C65" s="26" t="str">
        <x:v>35–44</x:v>
      </x:c>
      <x:c r="D65" s="962" t="n">
        <x:f>Assumptions!$E$152</x:f>
        <x:v>39.45</x:v>
      </x:c>
      <x:c r="E65" s="963" t="n">
        <x:f>Assumptions!$E$150</x:f>
        <x:v>1.027</x:v>
      </x:c>
      <x:c r="F65" s="932" t="n">
        <x:f>Assumptions!$E$138</x:f>
        <x:v>37</x:v>
      </x:c>
      <x:c r="G65" s="932" t="n">
        <x:f>Assumptions!$E$139</x:f>
        <x:v>52</x:v>
      </x:c>
      <x:c r="H65" s="932" t="n">
        <x:f>Assumptions!$E$137</x:f>
        <x:v>0.85</x:v>
      </x:c>
      <x:c r="I65" s="963" t="n">
        <x:f>(1+Assumptions!$E$140)^(A65-1)</x:f>
        <x:v>1.1048955771867275</x:v>
      </x:c>
      <x:c r="J65" s="167" t="n">
        <x:f>D65*E65*F65*G65*I65</x:f>
        <x:v>86127.87932476537</x:v>
      </x:c>
      <x:c r="K65" s="964" t="n">
        <x:f>1/(1+Assumptions!$E$15)^A65</x:f>
        <x:v>0.6597758167726057</x:v>
      </x:c>
      <x:c r="L65" s="964" t="n">
        <x:f>1/(1+Assumptions!$E$53)^A65</x:f>
        <x:v>0.43883360211662686</x:v>
      </x:c>
      <x:c r="M65" s="964" t="n">
        <x:f>1/(1+Assumptions!$E$16)^A65</x:f>
        <x:v>0.19865574759634863</x:v>
      </x:c>
      <x:c r="N65" s="965" t="n">
        <x:f>(MIN(J65*1.01,Assumptions!$E$155)*Assumptions!$E$156+MAX(MIN(J65*1.01,Assumptions!$E$157)-Assumptions!$E$155,0)*Assumptions!$E$158+MAX(MIN(J65*1.01,Assumptions!$E$159)-Assumptions!$E$157,0)*Assumptions!$E$160+MAX(MIN(J65*1.01,Assumptions!$E$161)-Assumptions!$E$159,0)*Assumptions!$E$162+MAX(J65*1.01-Assumptions!$E$161,0)*Assumptions!$E$163+MIN(J65*1.01,Assumptions!$E$165)*Assumptions!$E$164)-(MIN(J65,Assumptions!$E$155)*Assumptions!$E$156+MAX(MIN(J65,Assumptions!$E$157)-Assumptions!$E$155,0)*Assumptions!$E$158+MAX(MIN(J65,Assumptions!$E$159)-Assumptions!$E$157,0)*Assumptions!$E$160+MAX(MIN(J65,Assumptions!$E$161)-Assumptions!$E$159,0)*Assumptions!$E$162+MAX(J65-Assumptions!$E$161,0)*Assumptions!$E$163+MIN(J65,Assumptions!$E$165)*Assumptions!$E$164)</x:f>
        <x:v>299.29438065356226</x:v>
      </x:c>
      <x:c r="O65" s="26" t="str">
        <x:v>S34;S41;S42;S43;A18</x:v>
      </x:c>
      <x:c r="P65" s="26"/>
      <x:c r="Q65" s="26"/>
      <x:c r="R65" s="26"/>
      <x:c r="S65" s="26"/>
    </x:row>
    <x:row r="66">
      <x:c r="A66" s="26" t="n">
        <x:v>22</x:v>
      </x:c>
      <x:c r="B66" s="26" t="n">
        <x:v>42</x:v>
      </x:c>
      <x:c r="C66" s="26" t="str">
        <x:v>35–44</x:v>
      </x:c>
      <x:c r="D66" s="962" t="n">
        <x:f>Assumptions!$E$152</x:f>
        <x:v>39.45</x:v>
      </x:c>
      <x:c r="E66" s="963" t="n">
        <x:f>Assumptions!$E$150</x:f>
        <x:v>1.027</x:v>
      </x:c>
      <x:c r="F66" s="932" t="n">
        <x:f>Assumptions!$E$138</x:f>
        <x:v>37</x:v>
      </x:c>
      <x:c r="G66" s="932" t="n">
        <x:f>Assumptions!$E$139</x:f>
        <x:v>52</x:v>
      </x:c>
      <x:c r="H66" s="932" t="n">
        <x:f>Assumptions!$E$137</x:f>
        <x:v>0.85</x:v>
      </x:c>
      <x:c r="I66" s="963" t="n">
        <x:f>(1+Assumptions!$E$140)^(A66-1)</x:f>
        <x:v>1.1104200550726608</x:v>
      </x:c>
      <x:c r="J66" s="167" t="n">
        <x:f>D66*E66*F66*G66*I66</x:f>
        <x:v>86558.51872138916</x:v>
      </x:c>
      <x:c r="K66" s="964" t="n">
        <x:f>1/(1+Assumptions!$E$15)^A66</x:f>
        <x:v>0.6468390360515741</x:v>
      </x:c>
      <x:c r="L66" s="964" t="n">
        <x:f>1/(1+Assumptions!$E$53)^A66</x:f>
        <x:v>0.4219553866506028</x:v>
      </x:c>
      <x:c r="M66" s="964" t="n">
        <x:f>1/(1+Assumptions!$E$16)^A66</x:f>
        <x:v>0.1839405070336561</x:v>
      </x:c>
      <x:c r="N66" s="965" t="n">
        <x:f>(MIN(J66*1.01,Assumptions!$E$155)*Assumptions!$E$156+MAX(MIN(J66*1.01,Assumptions!$E$157)-Assumptions!$E$155,0)*Assumptions!$E$158+MAX(MIN(J66*1.01,Assumptions!$E$159)-Assumptions!$E$157,0)*Assumptions!$E$160+MAX(MIN(J66*1.01,Assumptions!$E$161)-Assumptions!$E$159,0)*Assumptions!$E$162+MAX(J66*1.01-Assumptions!$E$161,0)*Assumptions!$E$163+MIN(J66*1.01,Assumptions!$E$165)*Assumptions!$E$164)-(MIN(J66,Assumptions!$E$155)*Assumptions!$E$156+MAX(MIN(J66,Assumptions!$E$157)-Assumptions!$E$155,0)*Assumptions!$E$158+MAX(MIN(J66,Assumptions!$E$159)-Assumptions!$E$157,0)*Assumptions!$E$160+MAX(MIN(J66,Assumptions!$E$161)-Assumptions!$E$159,0)*Assumptions!$E$162+MAX(J66-Assumptions!$E$161,0)*Assumptions!$E$163+MIN(J66,Assumptions!$E$165)*Assumptions!$E$164)</x:f>
        <x:v>300.7908525568273</x:v>
      </x:c>
      <x:c r="O66" s="26" t="str">
        <x:v>S34;S41;S42;S43;A18</x:v>
      </x:c>
      <x:c r="P66" s="26"/>
      <x:c r="Q66" s="26"/>
      <x:c r="R66" s="26"/>
      <x:c r="S66" s="26"/>
    </x:row>
    <x:row r="67">
      <x:c r="A67" s="26" t="n">
        <x:v>23</x:v>
      </x:c>
      <x:c r="B67" s="26" t="n">
        <x:v>43</x:v>
      </x:c>
      <x:c r="C67" s="26" t="str">
        <x:v>35–44</x:v>
      </x:c>
      <x:c r="D67" s="962" t="n">
        <x:f>Assumptions!$E$152</x:f>
        <x:v>39.45</x:v>
      </x:c>
      <x:c r="E67" s="963" t="n">
        <x:f>Assumptions!$E$150</x:f>
        <x:v>1.027</x:v>
      </x:c>
      <x:c r="F67" s="932" t="n">
        <x:f>Assumptions!$E$138</x:f>
        <x:v>37</x:v>
      </x:c>
      <x:c r="G67" s="932" t="n">
        <x:f>Assumptions!$E$139</x:f>
        <x:v>52</x:v>
      </x:c>
      <x:c r="H67" s="932" t="n">
        <x:f>Assumptions!$E$137</x:f>
        <x:v>0.85</x:v>
      </x:c>
      <x:c r="I67" s="963" t="n">
        <x:f>(1+Assumptions!$E$140)^(A67-1)</x:f>
        <x:v>1.115972155348024</x:v>
      </x:c>
      <x:c r="J67" s="167" t="n">
        <x:f>D67*E67*F67*G67*I67</x:f>
        <x:v>86991.3113149961</x:v>
      </x:c>
      <x:c r="K67" s="964" t="n">
        <x:f>1/(1+Assumptions!$E$15)^A67</x:f>
        <x:v>0.6341559176976218</x:v>
      </x:c>
      <x:c r="L67" s="964" t="n">
        <x:f>1/(1+Assumptions!$E$53)^A67</x:f>
        <x:v>0.4057263333178873</x:v>
      </x:c>
      <x:c r="M67" s="964" t="n">
        <x:f>1/(1+Assumptions!$E$16)^A67</x:f>
        <x:v>0.17031528429042234</x:v>
      </x:c>
      <x:c r="N67" s="965" t="n">
        <x:f>(MIN(J67*1.01,Assumptions!$E$155)*Assumptions!$E$156+MAX(MIN(J67*1.01,Assumptions!$E$157)-Assumptions!$E$155,0)*Assumptions!$E$158+MAX(MIN(J67*1.01,Assumptions!$E$159)-Assumptions!$E$157,0)*Assumptions!$E$160+MAX(MIN(J67*1.01,Assumptions!$E$161)-Assumptions!$E$159,0)*Assumptions!$E$162+MAX(J67*1.01-Assumptions!$E$161,0)*Assumptions!$E$163+MIN(J67*1.01,Assumptions!$E$165)*Assumptions!$E$164)-(MIN(J67,Assumptions!$E$155)*Assumptions!$E$156+MAX(MIN(J67,Assumptions!$E$157)-Assumptions!$E$155,0)*Assumptions!$E$158+MAX(MIN(J67,Assumptions!$E$159)-Assumptions!$E$157,0)*Assumptions!$E$160+MAX(MIN(J67,Assumptions!$E$161)-Assumptions!$E$159,0)*Assumptions!$E$162+MAX(J67-Assumptions!$E$161,0)*Assumptions!$E$163+MIN(J67,Assumptions!$E$165)*Assumptions!$E$164)</x:f>
        <x:v>302.2948068196092</x:v>
      </x:c>
      <x:c r="O67" s="26" t="str">
        <x:v>S34;S41;S42;S43;A18</x:v>
      </x:c>
      <x:c r="P67" s="26"/>
      <x:c r="Q67" s="26"/>
      <x:c r="R67" s="26"/>
      <x:c r="S67" s="26"/>
    </x:row>
    <x:row r="68">
      <x:c r="A68" s="26" t="n">
        <x:v>24</x:v>
      </x:c>
      <x:c r="B68" s="26" t="n">
        <x:v>44</x:v>
      </x:c>
      <x:c r="C68" s="26" t="str">
        <x:v>35–44</x:v>
      </x:c>
      <x:c r="D68" s="962" t="n">
        <x:f>Assumptions!$E$152</x:f>
        <x:v>39.45</x:v>
      </x:c>
      <x:c r="E68" s="963" t="n">
        <x:f>Assumptions!$E$150</x:f>
        <x:v>1.027</x:v>
      </x:c>
      <x:c r="F68" s="932" t="n">
        <x:f>Assumptions!$E$138</x:f>
        <x:v>37</x:v>
      </x:c>
      <x:c r="G68" s="932" t="n">
        <x:f>Assumptions!$E$139</x:f>
        <x:v>52</x:v>
      </x:c>
      <x:c r="H68" s="932" t="n">
        <x:f>Assumptions!$E$137</x:f>
        <x:v>0.85</x:v>
      </x:c>
      <x:c r="I68" s="963" t="n">
        <x:f>(1+Assumptions!$E$140)^(A68-1)</x:f>
        <x:v>1.1215520161247639</x:v>
      </x:c>
      <x:c r="J68" s="167" t="n">
        <x:f>D68*E68*F68*G68*I68</x:f>
        <x:v>87426.26787157106</x:v>
      </x:c>
      <x:c r="K68" s="964" t="n">
        <x:f>1/(1+Assumptions!$E$15)^A68</x:f>
        <x:v>0.6217214879388449</x:v>
      </x:c>
      <x:c r="L68" s="964" t="n">
        <x:f>1/(1+Assumptions!$E$53)^A68</x:f>
        <x:v>0.3901214743441224</x:v>
      </x:c>
      <x:c r="M68" s="964" t="n">
        <x:f>1/(1+Assumptions!$E$16)^A68</x:f>
        <x:v>0.1576993373059466</x:v>
      </x:c>
      <x:c r="N68" s="965" t="n">
        <x:f>(MIN(J68*1.01,Assumptions!$E$155)*Assumptions!$E$156+MAX(MIN(J68*1.01,Assumptions!$E$157)-Assumptions!$E$155,0)*Assumptions!$E$158+MAX(MIN(J68*1.01,Assumptions!$E$159)-Assumptions!$E$157,0)*Assumptions!$E$160+MAX(MIN(J68*1.01,Assumptions!$E$161)-Assumptions!$E$159,0)*Assumptions!$E$162+MAX(J68*1.01-Assumptions!$E$161,0)*Assumptions!$E$163+MIN(J68*1.01,Assumptions!$E$165)*Assumptions!$E$164)-(MIN(J68,Assumptions!$E$155)*Assumptions!$E$156+MAX(MIN(J68,Assumptions!$E$157)-Assumptions!$E$155,0)*Assumptions!$E$158+MAX(MIN(J68,Assumptions!$E$159)-Assumptions!$E$157,0)*Assumptions!$E$160+MAX(MIN(J68,Assumptions!$E$161)-Assumptions!$E$159,0)*Assumptions!$E$162+MAX(J68-Assumptions!$E$161,0)*Assumptions!$E$163+MIN(J68,Assumptions!$E$165)*Assumptions!$E$164)</x:f>
        <x:v>303.80628085371063</x:v>
      </x:c>
      <x:c r="O68" s="26" t="str">
        <x:v>S34;S41;S42;S43;A18</x:v>
      </x:c>
      <x:c r="P68" s="26"/>
      <x:c r="Q68" s="26"/>
      <x:c r="R68" s="26"/>
      <x:c r="S68" s="26"/>
    </x:row>
    <x:row r="69">
      <x:c r="A69" s="26" t="n">
        <x:v>25</x:v>
      </x:c>
      <x:c r="B69" s="26" t="n">
        <x:v>45</x:v>
      </x:c>
      <x:c r="C69" s="26" t="str">
        <x:v>45–54</x:v>
      </x:c>
      <x:c r="D69" s="962" t="n">
        <x:f>Assumptions!$E$153</x:f>
        <x:v>39.5</x:v>
      </x:c>
      <x:c r="E69" s="963" t="n">
        <x:f>Assumptions!$E$150</x:f>
        <x:v>1.027</x:v>
      </x:c>
      <x:c r="F69" s="932" t="n">
        <x:f>Assumptions!$E$138</x:f>
        <x:v>37</x:v>
      </x:c>
      <x:c r="G69" s="932" t="n">
        <x:f>Assumptions!$E$139</x:f>
        <x:v>52</x:v>
      </x:c>
      <x:c r="H69" s="932" t="n">
        <x:f>Assumptions!$E$137</x:f>
        <x:v>0.85</x:v>
      </x:c>
      <x:c r="I69" s="963" t="n">
        <x:f>(1+Assumptions!$E$140)^(A69-1)</x:f>
        <x:v>1.1271597762053878</x:v>
      </x:c>
      <x:c r="J69" s="167" t="n">
        <x:f>D69*E69*F69*G69*I69</x:f>
        <x:v>87974.75966620259</x:v>
      </x:c>
      <x:c r="K69" s="964" t="n">
        <x:f>1/(1+Assumptions!$E$15)^A69</x:f>
        <x:v>0.6095308705282794</x:v>
      </x:c>
      <x:c r="L69" s="964" t="n">
        <x:f>1/(1+Assumptions!$E$53)^A69</x:f>
        <x:v>0.37511680225396377</x:v>
      </x:c>
      <x:c r="M69" s="964" t="n">
        <x:f>1/(1+Assumptions!$E$16)^A69</x:f>
        <x:v>0.1460179049129135</x:v>
      </x:c>
      <x:c r="N69" s="965" t="n">
        <x:f>(MIN(J69*1.01,Assumptions!$E$155)*Assumptions!$E$156+MAX(MIN(J69*1.01,Assumptions!$E$157)-Assumptions!$E$155,0)*Assumptions!$E$158+MAX(MIN(J69*1.01,Assumptions!$E$159)-Assumptions!$E$157,0)*Assumptions!$E$160+MAX(MIN(J69*1.01,Assumptions!$E$161)-Assumptions!$E$159,0)*Assumptions!$E$162+MAX(J69*1.01-Assumptions!$E$161,0)*Assumptions!$E$163+MIN(J69*1.01,Assumptions!$E$165)*Assumptions!$E$164)-(MIN(J69,Assumptions!$E$155)*Assumptions!$E$156+MAX(MIN(J69,Assumptions!$E$157)-Assumptions!$E$155,0)*Assumptions!$E$158+MAX(MIN(J69,Assumptions!$E$159)-Assumptions!$E$157,0)*Assumptions!$E$160+MAX(MIN(J69,Assumptions!$E$161)-Assumptions!$E$159,0)*Assumptions!$E$162+MAX(J69-Assumptions!$E$161,0)*Assumptions!$E$163+MIN(J69,Assumptions!$E$165)*Assumptions!$E$164)</x:f>
        <x:v>305.71228984005575</x:v>
      </x:c>
      <x:c r="O69" s="26" t="str">
        <x:v>S34;S41;S42;S43;A18</x:v>
      </x:c>
      <x:c r="P69" s="26"/>
      <x:c r="Q69" s="26"/>
      <x:c r="R69" s="26"/>
      <x:c r="S69" s="26"/>
    </x:row>
    <x:row r="70">
      <x:c r="A70" s="26" t="n">
        <x:v>26</x:v>
      </x:c>
      <x:c r="B70" s="26" t="n">
        <x:v>46</x:v>
      </x:c>
      <x:c r="C70" s="26" t="str">
        <x:v>45–54</x:v>
      </x:c>
      <x:c r="D70" s="962" t="n">
        <x:f>Assumptions!$E$153</x:f>
        <x:v>39.5</x:v>
      </x:c>
      <x:c r="E70" s="963" t="n">
        <x:f>Assumptions!$E$150</x:f>
        <x:v>1.027</x:v>
      </x:c>
      <x:c r="F70" s="932" t="n">
        <x:f>Assumptions!$E$138</x:f>
        <x:v>37</x:v>
      </x:c>
      <x:c r="G70" s="932" t="n">
        <x:f>Assumptions!$E$139</x:f>
        <x:v>52</x:v>
      </x:c>
      <x:c r="H70" s="932" t="n">
        <x:f>Assumptions!$E$137</x:f>
        <x:v>0.85</x:v>
      </x:c>
      <x:c r="I70" s="963" t="n">
        <x:f>(1+Assumptions!$E$140)^(A70-1)</x:f>
        <x:v>1.1327955750864145</x:v>
      </x:c>
      <x:c r="J70" s="167" t="n">
        <x:f>D70*E70*F70*G70*I70</x:f>
        <x:v>88414.63346453359</x:v>
      </x:c>
      <x:c r="K70" s="964" t="n">
        <x:f>1/(1+Assumptions!$E$15)^A70</x:f>
        <x:v>0.5975792848316464</x:v>
      </x:c>
      <x:c r="L70" s="964" t="n">
        <x:f>1/(1+Assumptions!$E$53)^A70</x:f>
        <x:v>0.3606892329365037</x:v>
      </x:c>
      <x:c r="M70" s="964" t="n">
        <x:f>1/(1+Assumptions!$E$16)^A70</x:f>
        <x:v>0.13520176380825324</x:v>
      </x:c>
      <x:c r="N70" s="965" t="n">
        <x:f>(MIN(J70*1.01,Assumptions!$E$155)*Assumptions!$E$156+MAX(MIN(J70*1.01,Assumptions!$E$157)-Assumptions!$E$155,0)*Assumptions!$E$158+MAX(MIN(J70*1.01,Assumptions!$E$159)-Assumptions!$E$157,0)*Assumptions!$E$160+MAX(MIN(J70*1.01,Assumptions!$E$161)-Assumptions!$E$159,0)*Assumptions!$E$162+MAX(J70*1.01-Assumptions!$E$161,0)*Assumptions!$E$163+MIN(J70*1.01,Assumptions!$E$165)*Assumptions!$E$164)-(MIN(J70,Assumptions!$E$155)*Assumptions!$E$156+MAX(MIN(J70,Assumptions!$E$157)-Assumptions!$E$155,0)*Assumptions!$E$158+MAX(MIN(J70,Assumptions!$E$159)-Assumptions!$E$157,0)*Assumptions!$E$160+MAX(MIN(J70,Assumptions!$E$161)-Assumptions!$E$159,0)*Assumptions!$E$162+MAX(J70-Assumptions!$E$161,0)*Assumptions!$E$163+MIN(J70,Assumptions!$E$165)*Assumptions!$E$164)</x:f>
        <x:v>307.2408512892507</x:v>
      </x:c>
      <x:c r="O70" s="26" t="str">
        <x:v>S34;S41;S42;S43;A18</x:v>
      </x:c>
      <x:c r="P70" s="26"/>
      <x:c r="Q70" s="26"/>
      <x:c r="R70" s="26"/>
      <x:c r="S70" s="26"/>
    </x:row>
    <x:row r="71">
      <x:c r="A71" s="26" t="n">
        <x:v>27</x:v>
      </x:c>
      <x:c r="B71" s="26" t="n">
        <x:v>47</x:v>
      </x:c>
      <x:c r="C71" s="26" t="str">
        <x:v>45–54</x:v>
      </x:c>
      <x:c r="D71" s="962" t="n">
        <x:f>Assumptions!$E$153</x:f>
        <x:v>39.5</x:v>
      </x:c>
      <x:c r="E71" s="963" t="n">
        <x:f>Assumptions!$E$150</x:f>
        <x:v>1.027</x:v>
      </x:c>
      <x:c r="F71" s="932" t="n">
        <x:f>Assumptions!$E$138</x:f>
        <x:v>37</x:v>
      </x:c>
      <x:c r="G71" s="932" t="n">
        <x:f>Assumptions!$E$139</x:f>
        <x:v>52</x:v>
      </x:c>
      <x:c r="H71" s="932" t="n">
        <x:f>Assumptions!$E$137</x:f>
        <x:v>0.85</x:v>
      </x:c>
      <x:c r="I71" s="963" t="n">
        <x:f>(1+Assumptions!$E$140)^(A71-1)</x:f>
        <x:v>1.1384595529618464</x:v>
      </x:c>
      <x:c r="J71" s="167" t="n">
        <x:f>D71*E71*F71*G71*I71</x:f>
        <x:v>88856.70663185624</x:v>
      </x:c>
      <x:c r="K71" s="964" t="n">
        <x:f>1/(1+Assumptions!$E$15)^A71</x:f>
        <x:v>0.5858620439525946</x:v>
      </x:c>
      <x:c r="L71" s="964" t="n">
        <x:f>1/(1+Assumptions!$E$53)^A71</x:f>
        <x:v>0.3468165701312535</x:v>
      </x:c>
      <x:c r="M71" s="964" t="n">
        <x:f>1/(1+Assumptions!$E$16)^A71</x:f>
        <x:v>0.12518681834097523</x:v>
      </x:c>
      <x:c r="N71" s="965" t="n">
        <x:f>(MIN(J71*1.01,Assumptions!$E$155)*Assumptions!$E$156+MAX(MIN(J71*1.01,Assumptions!$E$157)-Assumptions!$E$155,0)*Assumptions!$E$158+MAX(MIN(J71*1.01,Assumptions!$E$159)-Assumptions!$E$157,0)*Assumptions!$E$160+MAX(MIN(J71*1.01,Assumptions!$E$161)-Assumptions!$E$159,0)*Assumptions!$E$162+MAX(J71*1.01-Assumptions!$E$161,0)*Assumptions!$E$163+MIN(J71*1.01,Assumptions!$E$165)*Assumptions!$E$164)-(MIN(J71,Assumptions!$E$155)*Assumptions!$E$156+MAX(MIN(J71,Assumptions!$E$157)-Assumptions!$E$155,0)*Assumptions!$E$158+MAX(MIN(J71,Assumptions!$E$159)-Assumptions!$E$157,0)*Assumptions!$E$160+MAX(MIN(J71,Assumptions!$E$161)-Assumptions!$E$159,0)*Assumptions!$E$162+MAX(J71-Assumptions!$E$161,0)*Assumptions!$E$163+MIN(J71,Assumptions!$E$165)*Assumptions!$E$164)</x:f>
        <x:v>308.7770555456955</x:v>
      </x:c>
      <x:c r="O71" s="26" t="str">
        <x:v>S34;S41;S42;S43;A18</x:v>
      </x:c>
      <x:c r="P71" s="26"/>
      <x:c r="Q71" s="26"/>
      <x:c r="R71" s="26"/>
      <x:c r="S71" s="26"/>
    </x:row>
    <x:row r="72">
      <x:c r="A72" s="26" t="n">
        <x:v>28</x:v>
      </x:c>
      <x:c r="B72" s="26" t="n">
        <x:v>48</x:v>
      </x:c>
      <x:c r="C72" s="26" t="str">
        <x:v>45–54</x:v>
      </x:c>
      <x:c r="D72" s="962" t="n">
        <x:f>Assumptions!$E$153</x:f>
        <x:v>39.5</x:v>
      </x:c>
      <x:c r="E72" s="963" t="n">
        <x:f>Assumptions!$E$150</x:f>
        <x:v>1.027</x:v>
      </x:c>
      <x:c r="F72" s="932" t="n">
        <x:f>Assumptions!$E$138</x:f>
        <x:v>37</x:v>
      </x:c>
      <x:c r="G72" s="932" t="n">
        <x:f>Assumptions!$E$139</x:f>
        <x:v>52</x:v>
      </x:c>
      <x:c r="H72" s="932" t="n">
        <x:f>Assumptions!$E$137</x:f>
        <x:v>0.85</x:v>
      </x:c>
      <x:c r="I72" s="963" t="n">
        <x:f>(1+Assumptions!$E$140)^(A72-1)</x:f>
        <x:v>1.1441518507266555</x:v>
      </x:c>
      <x:c r="J72" s="167" t="n">
        <x:f>D72*E72*F72*G72*I72</x:f>
        <x:v>89300.99016501552</x:v>
      </x:c>
      <x:c r="K72" s="964" t="n">
        <x:f>1/(1+Assumptions!$E$15)^A72</x:f>
        <x:v>0.5743745528947004</x:v>
      </x:c>
      <x:c r="L72" s="964" t="n">
        <x:f>1/(1+Assumptions!$E$53)^A72</x:f>
        <x:v>0.3334774712800514</x:v>
      </x:c>
      <x:c r="M72" s="964" t="n">
        <x:f>1/(1+Assumptions!$E$16)^A72</x:f>
        <x:v>0.11591372068608817</x:v>
      </x:c>
      <x:c r="N72" s="965" t="n">
        <x:f>(MIN(J72*1.01,Assumptions!$E$155)*Assumptions!$E$156+MAX(MIN(J72*1.01,Assumptions!$E$157)-Assumptions!$E$155,0)*Assumptions!$E$158+MAX(MIN(J72*1.01,Assumptions!$E$159)-Assumptions!$E$157,0)*Assumptions!$E$160+MAX(MIN(J72*1.01,Assumptions!$E$161)-Assumptions!$E$159,0)*Assumptions!$E$162+MAX(J72*1.01-Assumptions!$E$161,0)*Assumptions!$E$163+MIN(J72*1.01,Assumptions!$E$165)*Assumptions!$E$164)-(MIN(J72,Assumptions!$E$155)*Assumptions!$E$156+MAX(MIN(J72,Assumptions!$E$157)-Assumptions!$E$155,0)*Assumptions!$E$158+MAX(MIN(J72,Assumptions!$E$159)-Assumptions!$E$157,0)*Assumptions!$E$160+MAX(MIN(J72,Assumptions!$E$161)-Assumptions!$E$159,0)*Assumptions!$E$162+MAX(J72-Assumptions!$E$161,0)*Assumptions!$E$163+MIN(J72,Assumptions!$E$165)*Assumptions!$E$164)</x:f>
        <x:v>310.3209408234288</x:v>
      </x:c>
      <x:c r="O72" s="26" t="str">
        <x:v>S34;S41;S42;S43;A18</x:v>
      </x:c>
      <x:c r="P72" s="26"/>
      <x:c r="Q72" s="26"/>
      <x:c r="R72" s="26"/>
      <x:c r="S72" s="26"/>
    </x:row>
    <x:row r="73">
      <x:c r="A73" s="26" t="n">
        <x:v>29</x:v>
      </x:c>
      <x:c r="B73" s="26" t="n">
        <x:v>49</x:v>
      </x:c>
      <x:c r="C73" s="26" t="str">
        <x:v>45–54</x:v>
      </x:c>
      <x:c r="D73" s="962" t="n">
        <x:f>Assumptions!$E$153</x:f>
        <x:v>39.5</x:v>
      </x:c>
      <x:c r="E73" s="963" t="n">
        <x:f>Assumptions!$E$150</x:f>
        <x:v>1.027</x:v>
      </x:c>
      <x:c r="F73" s="932" t="n">
        <x:f>Assumptions!$E$138</x:f>
        <x:v>37</x:v>
      </x:c>
      <x:c r="G73" s="932" t="n">
        <x:f>Assumptions!$E$139</x:f>
        <x:v>52</x:v>
      </x:c>
      <x:c r="H73" s="932" t="n">
        <x:f>Assumptions!$E$137</x:f>
        <x:v>0.85</x:v>
      </x:c>
      <x:c r="I73" s="963" t="n">
        <x:f>(1+Assumptions!$E$140)^(A73-1)</x:f>
        <x:v>1.1498726099802885</x:v>
      </x:c>
      <x:c r="J73" s="167" t="n">
        <x:f>D73*E73*F73*G73*I73</x:f>
        <x:v>89747.49511584057</x:v>
      </x:c>
      <x:c r="K73" s="964" t="n">
        <x:f>1/(1+Assumptions!$E$15)^A73</x:f>
        <x:v>0.5631123067595103</x:v>
      </x:c>
      <x:c r="L73" s="964" t="n">
        <x:f>1/(1+Assumptions!$E$53)^A73</x:f>
        <x:v>0.3206514146923571</x:v>
      </x:c>
      <x:c r="M73" s="964" t="n">
        <x:f>1/(1+Assumptions!$E$16)^A73</x:f>
        <x:v>0.10732751915378534</x:v>
      </x:c>
      <x:c r="N73" s="965" t="n">
        <x:f>(MIN(J73*1.01,Assumptions!$E$155)*Assumptions!$E$156+MAX(MIN(J73*1.01,Assumptions!$E$157)-Assumptions!$E$155,0)*Assumptions!$E$158+MAX(MIN(J73*1.01,Assumptions!$E$159)-Assumptions!$E$157,0)*Assumptions!$E$160+MAX(MIN(J73*1.01,Assumptions!$E$161)-Assumptions!$E$159,0)*Assumptions!$E$162+MAX(J73*1.01-Assumptions!$E$161,0)*Assumptions!$E$163+MIN(J73*1.01,Assumptions!$E$165)*Assumptions!$E$164)-(MIN(J73,Assumptions!$E$155)*Assumptions!$E$156+MAX(MIN(J73,Assumptions!$E$157)-Assumptions!$E$155,0)*Assumptions!$E$158+MAX(MIN(J73,Assumptions!$E$159)-Assumptions!$E$157,0)*Assumptions!$E$160+MAX(MIN(J73,Assumptions!$E$161)-Assumptions!$E$159,0)*Assumptions!$E$162+MAX(J73-Assumptions!$E$161,0)*Assumptions!$E$163+MIN(J73,Assumptions!$E$165)*Assumptions!$E$164)</x:f>
        <x:v>311.8725455275453</x:v>
      </x:c>
      <x:c r="O73" s="26" t="str">
        <x:v>S34;S41;S42;S43;A18</x:v>
      </x:c>
      <x:c r="P73" s="26"/>
      <x:c r="Q73" s="26"/>
      <x:c r="R73" s="26"/>
      <x:c r="S73" s="26"/>
    </x:row>
    <x:row r="74">
      <x:c r="A74" s="26" t="n">
        <x:v>30</x:v>
      </x:c>
      <x:c r="B74" s="26" t="n">
        <x:v>50</x:v>
      </x:c>
      <x:c r="C74" s="26" t="str">
        <x:v>45–54</x:v>
      </x:c>
      <x:c r="D74" s="962" t="n">
        <x:f>Assumptions!$E$153</x:f>
        <x:v>39.5</x:v>
      </x:c>
      <x:c r="E74" s="963" t="n">
        <x:f>Assumptions!$E$150</x:f>
        <x:v>1.027</x:v>
      </x:c>
      <x:c r="F74" s="932" t="n">
        <x:f>Assumptions!$E$138</x:f>
        <x:v>37</x:v>
      </x:c>
      <x:c r="G74" s="932" t="n">
        <x:f>Assumptions!$E$139</x:f>
        <x:v>52</x:v>
      </x:c>
      <x:c r="H74" s="932" t="n">
        <x:f>Assumptions!$E$137</x:f>
        <x:v>0.85</x:v>
      </x:c>
      <x:c r="I74" s="963" t="n">
        <x:f>(1+Assumptions!$E$140)^(A74-1)</x:f>
        <x:v>1.1556219730301898</x:v>
      </x:c>
      <x:c r="J74" s="167" t="n">
        <x:f>D74*E74*F74*G74*I74</x:f>
        <x:v>90196.23259141976</x:v>
      </x:c>
      <x:c r="K74" s="964" t="n">
        <x:f>1/(1+Assumptions!$E$15)^A74</x:f>
        <x:v>0.552070888979912</x:v>
      </x:c>
      <x:c r="L74" s="964" t="n">
        <x:f>1/(1+Assumptions!$E$53)^A74</x:f>
        <x:v>0.30831866797342034</x:v>
      </x:c>
      <x:c r="M74" s="964" t="n">
        <x:f>1/(1+Assumptions!$E$16)^A74</x:f>
        <x:v>0.09937733254980123</x:v>
      </x:c>
      <x:c r="N74" s="965" t="n">
        <x:f>(MIN(J74*1.01,Assumptions!$E$155)*Assumptions!$E$156+MAX(MIN(J74*1.01,Assumptions!$E$157)-Assumptions!$E$155,0)*Assumptions!$E$158+MAX(MIN(J74*1.01,Assumptions!$E$159)-Assumptions!$E$157,0)*Assumptions!$E$160+MAX(MIN(J74*1.01,Assumptions!$E$161)-Assumptions!$E$159,0)*Assumptions!$E$162+MAX(J74*1.01-Assumptions!$E$161,0)*Assumptions!$E$163+MIN(J74*1.01,Assumptions!$E$165)*Assumptions!$E$164)-(MIN(J74,Assumptions!$E$155)*Assumptions!$E$156+MAX(MIN(J74,Assumptions!$E$157)-Assumptions!$E$155,0)*Assumptions!$E$158+MAX(MIN(J74,Assumptions!$E$159)-Assumptions!$E$157,0)*Assumptions!$E$160+MAX(MIN(J74,Assumptions!$E$161)-Assumptions!$E$159,0)*Assumptions!$E$162+MAX(J74-Assumptions!$E$161,0)*Assumptions!$E$163+MIN(J74,Assumptions!$E$165)*Assumptions!$E$164)</x:f>
        <x:v>313.4319082551847</x:v>
      </x:c>
      <x:c r="O74" s="26" t="str">
        <x:v>S34;S41;S42;S43;A18</x:v>
      </x:c>
      <x:c r="P74" s="26"/>
      <x:c r="Q74" s="26"/>
      <x:c r="R74" s="26"/>
      <x:c r="S74" s="26"/>
    </x:row>
    <x:row r="75">
      <x:c r="A75" s="26" t="n">
        <x:v>31</x:v>
      </x:c>
      <x:c r="B75" s="26" t="n">
        <x:v>51</x:v>
      </x:c>
      <x:c r="C75" s="26" t="str">
        <x:v>45–54</x:v>
      </x:c>
      <x:c r="D75" s="962" t="n">
        <x:f>Assumptions!$E$153</x:f>
        <x:v>39.5</x:v>
      </x:c>
      <x:c r="E75" s="963" t="n">
        <x:f>Assumptions!$E$150</x:f>
        <x:v>1.027</x:v>
      </x:c>
      <x:c r="F75" s="932" t="n">
        <x:f>Assumptions!$E$138</x:f>
        <x:v>37</x:v>
      </x:c>
      <x:c r="G75" s="932" t="n">
        <x:f>Assumptions!$E$139</x:f>
        <x:v>52</x:v>
      </x:c>
      <x:c r="H75" s="932" t="n">
        <x:f>Assumptions!$E$137</x:f>
        <x:v>0.85</x:v>
      </x:c>
      <x:c r="I75" s="963" t="n">
        <x:f>(1+Assumptions!$E$140)^(A75-1)</x:f>
        <x:v>1.1614000828953406</x:v>
      </x:c>
      <x:c r="J75" s="167" t="n">
        <x:f>D75*E75*F75*G75*I75</x:f>
        <x:v>90647.21375437685</x:v>
      </x:c>
      <x:c r="K75" s="964" t="n">
        <x:f>1/(1+Assumptions!$E$15)^A75</x:f>
        <x:v>0.5412459695881492</x:v>
      </x:c>
      <x:c r="L75" s="964" t="n">
        <x:f>1/(1+Assumptions!$E$53)^A75</x:f>
        <x:v>0.29646025766675027</x:v>
      </x:c>
      <x:c r="M75" s="964" t="n">
        <x:f>1/(1+Assumptions!$E$16)^A75</x:f>
        <x:v>0.09201604865722335</x:v>
      </x:c>
      <x:c r="N75" s="965" t="n">
        <x:f>(MIN(J75*1.01,Assumptions!$E$155)*Assumptions!$E$156+MAX(MIN(J75*1.01,Assumptions!$E$157)-Assumptions!$E$155,0)*Assumptions!$E$158+MAX(MIN(J75*1.01,Assumptions!$E$159)-Assumptions!$E$157,0)*Assumptions!$E$160+MAX(MIN(J75*1.01,Assumptions!$E$161)-Assumptions!$E$159,0)*Assumptions!$E$162+MAX(J75*1.01-Assumptions!$E$161,0)*Assumptions!$E$163+MIN(J75*1.01,Assumptions!$E$165)*Assumptions!$E$164)-(MIN(J75,Assumptions!$E$155)*Assumptions!$E$156+MAX(MIN(J75,Assumptions!$E$157)-Assumptions!$E$155,0)*Assumptions!$E$158+MAX(MIN(J75,Assumptions!$E$159)-Assumptions!$E$157,0)*Assumptions!$E$160+MAX(MIN(J75,Assumptions!$E$161)-Assumptions!$E$159,0)*Assumptions!$E$162+MAX(J75-Assumptions!$E$161,0)*Assumptions!$E$163+MIN(J75,Assumptions!$E$165)*Assumptions!$E$164)</x:f>
        <x:v>314.9990677964597</x:v>
      </x:c>
      <x:c r="O75" s="26" t="str">
        <x:v>S34;S41;S42;S43;A18</x:v>
      </x:c>
      <x:c r="P75" s="26"/>
      <x:c r="Q75" s="26"/>
      <x:c r="R75" s="26"/>
      <x:c r="S75" s="26"/>
    </x:row>
    <x:row r="76">
      <x:c r="A76" s="26" t="n">
        <x:v>32</x:v>
      </x:c>
      <x:c r="B76" s="26" t="n">
        <x:v>52</x:v>
      </x:c>
      <x:c r="C76" s="26" t="str">
        <x:v>45–54</x:v>
      </x:c>
      <x:c r="D76" s="962" t="n">
        <x:f>Assumptions!$E$153</x:f>
        <x:v>39.5</x:v>
      </x:c>
      <x:c r="E76" s="963" t="n">
        <x:f>Assumptions!$E$150</x:f>
        <x:v>1.027</x:v>
      </x:c>
      <x:c r="F76" s="932" t="n">
        <x:f>Assumptions!$E$138</x:f>
        <x:v>37</x:v>
      </x:c>
      <x:c r="G76" s="932" t="n">
        <x:f>Assumptions!$E$139</x:f>
        <x:v>52</x:v>
      </x:c>
      <x:c r="H76" s="932" t="n">
        <x:f>Assumptions!$E$137</x:f>
        <x:v>0.85</x:v>
      </x:c>
      <x:c r="I76" s="963" t="n">
        <x:f>(1+Assumptions!$E$140)^(A76-1)</x:f>
        <x:v>1.167207083309817</x:v>
      </x:c>
      <x:c r="J76" s="167" t="n">
        <x:f>D76*E76*F76*G76*I76</x:f>
        <x:v>91100.44982314871</x:v>
      </x:c>
      <x:c r="K76" s="964" t="n">
        <x:f>1/(1+Assumptions!$E$15)^A76</x:f>
        <x:v>0.5306333035177931</x:v>
      </x:c>
      <x:c r="L76" s="964" t="n">
        <x:f>1/(1+Assumptions!$E$53)^A76</x:f>
        <x:v>0.28505794006418295</x:v>
      </x:c>
      <x:c r="M76" s="964" t="n">
        <x:f>1/(1+Assumptions!$E$16)^A76</x:f>
        <x:v>0.08520004505298458</x:v>
      </x:c>
      <x:c r="N76" s="965" t="n">
        <x:f>(MIN(J76*1.01,Assumptions!$E$155)*Assumptions!$E$156+MAX(MIN(J76*1.01,Assumptions!$E$157)-Assumptions!$E$155,0)*Assumptions!$E$158+MAX(MIN(J76*1.01,Assumptions!$E$159)-Assumptions!$E$157,0)*Assumptions!$E$160+MAX(MIN(J76*1.01,Assumptions!$E$161)-Assumptions!$E$159,0)*Assumptions!$E$162+MAX(J76*1.01-Assumptions!$E$161,0)*Assumptions!$E$163+MIN(J76*1.01,Assumptions!$E$165)*Assumptions!$E$164)-(MIN(J76,Assumptions!$E$155)*Assumptions!$E$156+MAX(MIN(J76,Assumptions!$E$157)-Assumptions!$E$155,0)*Assumptions!$E$158+MAX(MIN(J76,Assumptions!$E$159)-Assumptions!$E$157,0)*Assumptions!$E$160+MAX(MIN(J76,Assumptions!$E$161)-Assumptions!$E$159,0)*Assumptions!$E$162+MAX(J76-Assumptions!$E$161,0)*Assumptions!$E$163+MIN(J76,Assumptions!$E$165)*Assumptions!$E$164)</x:f>
        <x:v>316.574063135442</x:v>
      </x:c>
      <x:c r="O76" s="26" t="str">
        <x:v>S34;S41;S42;S43;A18</x:v>
      </x:c>
      <x:c r="P76" s="26"/>
      <x:c r="Q76" s="26"/>
      <x:c r="R76" s="26"/>
      <x:c r="S76" s="26"/>
    </x:row>
    <x:row r="77">
      <x:c r="A77" s="26" t="n">
        <x:v>33</x:v>
      </x:c>
      <x:c r="B77" s="26" t="n">
        <x:v>53</x:v>
      </x:c>
      <x:c r="C77" s="26" t="str">
        <x:v>45–54</x:v>
      </x:c>
      <x:c r="D77" s="962" t="n">
        <x:f>Assumptions!$E$153</x:f>
        <x:v>39.5</x:v>
      </x:c>
      <x:c r="E77" s="963" t="n">
        <x:f>Assumptions!$E$150</x:f>
        <x:v>1.027</x:v>
      </x:c>
      <x:c r="F77" s="932" t="n">
        <x:f>Assumptions!$E$138</x:f>
        <x:v>37</x:v>
      </x:c>
      <x:c r="G77" s="932" t="n">
        <x:f>Assumptions!$E$139</x:f>
        <x:v>52</x:v>
      </x:c>
      <x:c r="H77" s="932" t="n">
        <x:f>Assumptions!$E$137</x:f>
        <x:v>0.85</x:v>
      </x:c>
      <x:c r="I77" s="963" t="n">
        <x:f>(1+Assumptions!$E$140)^(A77-1)</x:f>
        <x:v>1.173043118726366</x:v>
      </x:c>
      <x:c r="J77" s="167" t="n">
        <x:f>D77*E77*F77*G77*I77</x:f>
        <x:v>91555.95207226444</x:v>
      </x:c>
      <x:c r="K77" s="964" t="n">
        <x:f>1/(1+Assumptions!$E$15)^A77</x:f>
        <x:v>0.5202287289390128</x:v>
      </x:c>
      <x:c r="L77" s="964" t="n">
        <x:f>1/(1+Assumptions!$E$53)^A77</x:f>
        <x:v>0.27409417313863743</x:v>
      </x:c>
      <x:c r="M77" s="964" t="n">
        <x:f>1/(1+Assumptions!$E$16)^A77</x:f>
        <x:v>0.07888893060461535</x:v>
      </x:c>
      <x:c r="N77" s="965" t="n">
        <x:f>(MIN(J77*1.01,Assumptions!$E$155)*Assumptions!$E$156+MAX(MIN(J77*1.01,Assumptions!$E$157)-Assumptions!$E$155,0)*Assumptions!$E$158+MAX(MIN(J77*1.01,Assumptions!$E$159)-Assumptions!$E$157,0)*Assumptions!$E$160+MAX(MIN(J77*1.01,Assumptions!$E$161)-Assumptions!$E$159,0)*Assumptions!$E$162+MAX(J77*1.01-Assumptions!$E$161,0)*Assumptions!$E$163+MIN(J77*1.01,Assumptions!$E$165)*Assumptions!$E$164)-(MIN(J77,Assumptions!$E$155)*Assumptions!$E$156+MAX(MIN(J77,Assumptions!$E$157)-Assumptions!$E$155,0)*Assumptions!$E$158+MAX(MIN(J77,Assumptions!$E$159)-Assumptions!$E$157,0)*Assumptions!$E$160+MAX(MIN(J77,Assumptions!$E$161)-Assumptions!$E$159,0)*Assumptions!$E$162+MAX(J77-Assumptions!$E$161,0)*Assumptions!$E$163+MIN(J77,Assumptions!$E$165)*Assumptions!$E$164)</x:f>
        <x:v>318.1569334511187</x:v>
      </x:c>
      <x:c r="O77" s="26" t="str">
        <x:v>S34;S41;S42;S43;A18</x:v>
      </x:c>
      <x:c r="P77" s="26"/>
      <x:c r="Q77" s="26"/>
      <x:c r="R77" s="26"/>
      <x:c r="S77" s="26"/>
    </x:row>
    <x:row r="78">
      <x:c r="A78" s="26" t="n">
        <x:v>34</x:v>
      </x:c>
      <x:c r="B78" s="26" t="n">
        <x:v>54</x:v>
      </x:c>
      <x:c r="C78" s="26" t="str">
        <x:v>45–54</x:v>
      </x:c>
      <x:c r="D78" s="962" t="n">
        <x:f>Assumptions!$E$153</x:f>
        <x:v>39.5</x:v>
      </x:c>
      <x:c r="E78" s="963" t="n">
        <x:f>Assumptions!$E$150</x:f>
        <x:v>1.027</x:v>
      </x:c>
      <x:c r="F78" s="932" t="n">
        <x:f>Assumptions!$E$138</x:f>
        <x:v>37</x:v>
      </x:c>
      <x:c r="G78" s="932" t="n">
        <x:f>Assumptions!$E$139</x:f>
        <x:v>52</x:v>
      </x:c>
      <x:c r="H78" s="932" t="n">
        <x:f>Assumptions!$E$137</x:f>
        <x:v>0.85</x:v>
      </x:c>
      <x:c r="I78" s="963" t="n">
        <x:f>(1+Assumptions!$E$140)^(A78-1)</x:f>
        <x:v>1.1789083343199975</x:v>
      </x:c>
      <x:c r="J78" s="167" t="n">
        <x:f>D78*E78*F78*G78*I78</x:f>
        <x:v>92013.73183262575</x:v>
      </x:c>
      <x:c r="K78" s="964" t="n">
        <x:f>1/(1+Assumptions!$E$15)^A78</x:f>
        <x:v>0.5100281656264832</x:v>
      </x:c>
      <x:c r="L78" s="964" t="n">
        <x:f>1/(1+Assumptions!$E$53)^A78</x:f>
        <x:v>0.26355208955638215</x:v>
      </x:c>
      <x:c r="M78" s="964" t="n">
        <x:f>1/(1+Assumptions!$E$16)^A78</x:f>
        <x:v>0.07304530611538458</x:v>
      </x:c>
      <x:c r="N78" s="965" t="n">
        <x:f>(MIN(J78*1.01,Assumptions!$E$155)*Assumptions!$E$156+MAX(MIN(J78*1.01,Assumptions!$E$157)-Assumptions!$E$155,0)*Assumptions!$E$158+MAX(MIN(J78*1.01,Assumptions!$E$159)-Assumptions!$E$157,0)*Assumptions!$E$160+MAX(MIN(J78*1.01,Assumptions!$E$161)-Assumptions!$E$159,0)*Assumptions!$E$162+MAX(J78*1.01-Assumptions!$E$161,0)*Assumptions!$E$163+MIN(J78*1.01,Assumptions!$E$165)*Assumptions!$E$164)-(MIN(J78,Assumptions!$E$155)*Assumptions!$E$156+MAX(MIN(J78,Assumptions!$E$157)-Assumptions!$E$155,0)*Assumptions!$E$158+MAX(MIN(J78,Assumptions!$E$159)-Assumptions!$E$157,0)*Assumptions!$E$160+MAX(MIN(J78,Assumptions!$E$161)-Assumptions!$E$159,0)*Assumptions!$E$162+MAX(J78-Assumptions!$E$161,0)*Assumptions!$E$163+MIN(J78,Assumptions!$E$165)*Assumptions!$E$164)</x:f>
        <x:v>319.7477181183749</x:v>
      </x:c>
      <x:c r="O78" s="26" t="str">
        <x:v>S34;S41;S42;S43;A18</x:v>
      </x:c>
      <x:c r="P78" s="26"/>
      <x:c r="Q78" s="26"/>
      <x:c r="R78" s="26"/>
      <x:c r="S78" s="26"/>
    </x:row>
    <x:row r="79">
      <x:c r="A79" s="26" t="n">
        <x:v>35</x:v>
      </x:c>
      <x:c r="B79" s="26" t="n">
        <x:v>55</x:v>
      </x:c>
      <x:c r="C79" s="26" t="str">
        <x:v>55–64</x:v>
      </x:c>
      <x:c r="D79" s="962" t="n">
        <x:f>Assumptions!$E$154</x:f>
        <x:v>37</x:v>
      </x:c>
      <x:c r="E79" s="963" t="n">
        <x:f>Assumptions!$E$150</x:f>
        <x:v>1.027</x:v>
      </x:c>
      <x:c r="F79" s="932" t="n">
        <x:f>Assumptions!$E$138</x:f>
        <x:v>37</x:v>
      </x:c>
      <x:c r="G79" s="932" t="n">
        <x:f>Assumptions!$E$139</x:f>
        <x:v>52</x:v>
      </x:c>
      <x:c r="H79" s="932" t="n">
        <x:f>Assumptions!$E$137</x:f>
        <x:v>0.85</x:v>
      </x:c>
      <x:c r="I79" s="963" t="n">
        <x:f>(1+Assumptions!$E$140)^(A79-1)</x:f>
        <x:v>1.1848028759915974</x:v>
      </x:c>
      <x:c r="J79" s="167" t="n">
        <x:f>D79*E79*F79*G79*I79</x:f>
        <x:v>86621.02830876425</x:v>
      </x:c>
      <x:c r="K79" s="964" t="n">
        <x:f>1/(1+Assumptions!$E$15)^A79</x:f>
        <x:v>0.5000276133592974</x:v>
      </x:c>
      <x:c r="L79" s="964" t="n">
        <x:f>1/(1+Assumptions!$E$53)^A79</x:f>
        <x:v>0.2534154707272905</x:v>
      </x:c>
      <x:c r="M79" s="964" t="n">
        <x:f>1/(1+Assumptions!$E$16)^A79</x:f>
        <x:v>0.06763454269943016</x:v>
      </x:c>
      <x:c r="N79" s="965" t="n">
        <x:f>(MIN(J79*1.01,Assumptions!$E$155)*Assumptions!$E$156+MAX(MIN(J79*1.01,Assumptions!$E$157)-Assumptions!$E$155,0)*Assumptions!$E$158+MAX(MIN(J79*1.01,Assumptions!$E$159)-Assumptions!$E$157,0)*Assumptions!$E$160+MAX(MIN(J79*1.01,Assumptions!$E$161)-Assumptions!$E$159,0)*Assumptions!$E$162+MAX(J79*1.01-Assumptions!$E$161,0)*Assumptions!$E$163+MIN(J79*1.01,Assumptions!$E$165)*Assumptions!$E$164)-(MIN(J79,Assumptions!$E$155)*Assumptions!$E$156+MAX(MIN(J79,Assumptions!$E$157)-Assumptions!$E$155,0)*Assumptions!$E$158+MAX(MIN(J79,Assumptions!$E$159)-Assumptions!$E$157,0)*Assumptions!$E$160+MAX(MIN(J79,Assumptions!$E$161)-Assumptions!$E$159,0)*Assumptions!$E$162+MAX(J79-Assumptions!$E$161,0)*Assumptions!$E$163+MIN(J79,Assumptions!$E$165)*Assumptions!$E$164)</x:f>
        <x:v>301.0080733729519</x:v>
      </x:c>
      <x:c r="O79" s="26" t="str">
        <x:v>S34;S41;S42;S43;A18</x:v>
      </x:c>
      <x:c r="P79" s="26"/>
      <x:c r="Q79" s="26"/>
      <x:c r="R79" s="26"/>
      <x:c r="S79" s="26"/>
    </x:row>
    <x:row r="80">
      <x:c r="A80" s="26" t="n">
        <x:v>36</x:v>
      </x:c>
      <x:c r="B80" s="26" t="n">
        <x:v>56</x:v>
      </x:c>
      <x:c r="C80" s="26" t="str">
        <x:v>55–64</x:v>
      </x:c>
      <x:c r="D80" s="962" t="n">
        <x:f>Assumptions!$E$154</x:f>
        <x:v>37</x:v>
      </x:c>
      <x:c r="E80" s="963" t="n">
        <x:f>Assumptions!$E$150</x:f>
        <x:v>1.027</x:v>
      </x:c>
      <x:c r="F80" s="932" t="n">
        <x:f>Assumptions!$E$138</x:f>
        <x:v>37</x:v>
      </x:c>
      <x:c r="G80" s="932" t="n">
        <x:f>Assumptions!$E$139</x:f>
        <x:v>52</x:v>
      </x:c>
      <x:c r="H80" s="932" t="n">
        <x:f>Assumptions!$E$137</x:f>
        <x:v>0.85</x:v>
      </x:c>
      <x:c r="I80" s="963" t="n">
        <x:f>(1+Assumptions!$E$140)^(A80-1)</x:f>
        <x:v>1.1907268903715553</x:v>
      </x:c>
      <x:c r="J80" s="167" t="n">
        <x:f>D80*E80*F80*G80*I80</x:f>
        <x:v>87054.13345030806</x:v>
      </x:c>
      <x:c r="K80" s="964" t="n">
        <x:f>1/(1+Assumptions!$E$15)^A80</x:f>
        <x:v>0.49022315035225233</x:v>
      </x:c>
      <x:c r="L80" s="964" t="n">
        <x:f>1/(1+Assumptions!$E$53)^A80</x:f>
        <x:v>0.24366872185316396</x:v>
      </x:c>
      <x:c r="M80" s="964" t="n">
        <x:f>1/(1+Assumptions!$E$16)^A80</x:f>
        <x:v>0.06262457657354643</x:v>
      </x:c>
      <x:c r="N80" s="965" t="n">
        <x:f>(MIN(J80*1.01,Assumptions!$E$155)*Assumptions!$E$156+MAX(MIN(J80*1.01,Assumptions!$E$157)-Assumptions!$E$155,0)*Assumptions!$E$158+MAX(MIN(J80*1.01,Assumptions!$E$159)-Assumptions!$E$157,0)*Assumptions!$E$160+MAX(MIN(J80*1.01,Assumptions!$E$161)-Assumptions!$E$159,0)*Assumptions!$E$162+MAX(J80*1.01-Assumptions!$E$161,0)*Assumptions!$E$163+MIN(J80*1.01,Assumptions!$E$165)*Assumptions!$E$164)-(MIN(J80,Assumptions!$E$155)*Assumptions!$E$156+MAX(MIN(J80,Assumptions!$E$157)-Assumptions!$E$155,0)*Assumptions!$E$158+MAX(MIN(J80,Assumptions!$E$159)-Assumptions!$E$157,0)*Assumptions!$E$160+MAX(MIN(J80,Assumptions!$E$161)-Assumptions!$E$159,0)*Assumptions!$E$162+MAX(J80-Assumptions!$E$161,0)*Assumptions!$E$163+MIN(J80,Assumptions!$E$165)*Assumptions!$E$164)</x:f>
        <x:v>302.5131137398239</x:v>
      </x:c>
      <x:c r="O80" s="26" t="str">
        <x:v>S34;S41;S42;S43;A18</x:v>
      </x:c>
      <x:c r="P80" s="26"/>
      <x:c r="Q80" s="26"/>
      <x:c r="R80" s="26"/>
      <x:c r="S80" s="26"/>
    </x:row>
    <x:row r="81">
      <x:c r="A81" s="26" t="n">
        <x:v>37</x:v>
      </x:c>
      <x:c r="B81" s="26" t="n">
        <x:v>57</x:v>
      </x:c>
      <x:c r="C81" s="26" t="str">
        <x:v>55–64</x:v>
      </x:c>
      <x:c r="D81" s="962" t="n">
        <x:f>Assumptions!$E$154</x:f>
        <x:v>37</x:v>
      </x:c>
      <x:c r="E81" s="963" t="n">
        <x:f>Assumptions!$E$150</x:f>
        <x:v>1.027</x:v>
      </x:c>
      <x:c r="F81" s="932" t="n">
        <x:f>Assumptions!$E$138</x:f>
        <x:v>37</x:v>
      </x:c>
      <x:c r="G81" s="932" t="n">
        <x:f>Assumptions!$E$139</x:f>
        <x:v>52</x:v>
      </x:c>
      <x:c r="H81" s="932" t="n">
        <x:f>Assumptions!$E$137</x:f>
        <x:v>0.85</x:v>
      </x:c>
      <x:c r="I81" s="963" t="n">
        <x:f>(1+Assumptions!$E$140)^(A81-1)</x:f>
        <x:v>1.1966805248234127</x:v>
      </x:c>
      <x:c r="J81" s="167" t="n">
        <x:f>D81*E81*F81*G81*I81</x:f>
        <x:v>87489.40411755958</x:v>
      </x:c>
      <x:c r="K81" s="964" t="n">
        <x:f>1/(1+Assumptions!$E$15)^A81</x:f>
        <x:v>0.4806109317178944</x:v>
      </x:c>
      <x:c r="L81" s="964" t="n">
        <x:f>1/(1+Assumptions!$E$53)^A81</x:f>
        <x:v>0.23429684793573452</x:v>
      </x:c>
      <x:c r="M81" s="964" t="n">
        <x:f>1/(1+Assumptions!$E$16)^A81</x:f>
        <x:v>0.05798571904958003</x:v>
      </x:c>
      <x:c r="N81" s="965" t="n">
        <x:f>(MIN(J81*1.01,Assumptions!$E$155)*Assumptions!$E$156+MAX(MIN(J81*1.01,Assumptions!$E$157)-Assumptions!$E$155,0)*Assumptions!$E$158+MAX(MIN(J81*1.01,Assumptions!$E$159)-Assumptions!$E$157,0)*Assumptions!$E$160+MAX(MIN(J81*1.01,Assumptions!$E$161)-Assumptions!$E$159,0)*Assumptions!$E$162+MAX(J81*1.01-Assumptions!$E$161,0)*Assumptions!$E$163+MIN(J81*1.01,Assumptions!$E$165)*Assumptions!$E$164)-(MIN(J81,Assumptions!$E$155)*Assumptions!$E$156+MAX(MIN(J81,Assumptions!$E$157)-Assumptions!$E$155,0)*Assumptions!$E$158+MAX(MIN(J81,Assumptions!$E$159)-Assumptions!$E$157,0)*Assumptions!$E$160+MAX(MIN(J81,Assumptions!$E$161)-Assumptions!$E$159,0)*Assumptions!$E$162+MAX(J81-Assumptions!$E$161,0)*Assumptions!$E$163+MIN(J81,Assumptions!$E$165)*Assumptions!$E$164)</x:f>
        <x:v>304.0256793085173</x:v>
      </x:c>
      <x:c r="O81" s="26" t="str">
        <x:v>S34;S41;S42;S43;A18</x:v>
      </x:c>
      <x:c r="P81" s="26"/>
      <x:c r="Q81" s="26"/>
      <x:c r="R81" s="26"/>
      <x:c r="S81" s="26"/>
    </x:row>
    <x:row r="82">
      <x:c r="A82" s="26" t="n">
        <x:v>38</x:v>
      </x:c>
      <x:c r="B82" s="26" t="n">
        <x:v>58</x:v>
      </x:c>
      <x:c r="C82" s="26" t="str">
        <x:v>55–64</x:v>
      </x:c>
      <x:c r="D82" s="962" t="n">
        <x:f>Assumptions!$E$154</x:f>
        <x:v>37</x:v>
      </x:c>
      <x:c r="E82" s="963" t="n">
        <x:f>Assumptions!$E$150</x:f>
        <x:v>1.027</x:v>
      </x:c>
      <x:c r="F82" s="932" t="n">
        <x:f>Assumptions!$E$138</x:f>
        <x:v>37</x:v>
      </x:c>
      <x:c r="G82" s="932" t="n">
        <x:f>Assumptions!$E$139</x:f>
        <x:v>52</x:v>
      </x:c>
      <x:c r="H82" s="932" t="n">
        <x:f>Assumptions!$E$137</x:f>
        <x:v>0.85</x:v>
      </x:c>
      <x:c r="I82" s="963" t="n">
        <x:f>(1+Assumptions!$E$140)^(A82-1)</x:f>
        <x:v>1.2026639274475295</x:v>
      </x:c>
      <x:c r="J82" s="167" t="n">
        <x:f>D82*E82*F82*G82*I82</x:f>
        <x:v>87926.85113814735</x:v>
      </x:c>
      <x:c r="K82" s="964" t="n">
        <x:f>1/(1+Assumptions!$E$15)^A82</x:f>
        <x:v>0.4711871879587199</x:v>
      </x:c>
      <x:c r="L82" s="964" t="n">
        <x:f>1/(1+Assumptions!$E$53)^A82</x:f>
        <x:v>0.22528543070743706</x:v>
      </x:c>
      <x:c r="M82" s="964" t="n">
        <x:f>1/(1+Assumptions!$E$16)^A82</x:f>
        <x:v>0.05369048060146299</x:v>
      </x:c>
      <x:c r="N82" s="965" t="n">
        <x:f>(MIN(J82*1.01,Assumptions!$E$155)*Assumptions!$E$156+MAX(MIN(J82*1.01,Assumptions!$E$157)-Assumptions!$E$155,0)*Assumptions!$E$158+MAX(MIN(J82*1.01,Assumptions!$E$159)-Assumptions!$E$157,0)*Assumptions!$E$160+MAX(MIN(J82*1.01,Assumptions!$E$161)-Assumptions!$E$159,0)*Assumptions!$E$162+MAX(J82*1.01-Assumptions!$E$161,0)*Assumptions!$E$163+MIN(J82*1.01,Assumptions!$E$165)*Assumptions!$E$164)-(MIN(J82,Assumptions!$E$155)*Assumptions!$E$156+MAX(MIN(J82,Assumptions!$E$157)-Assumptions!$E$155,0)*Assumptions!$E$158+MAX(MIN(J82,Assumptions!$E$159)-Assumptions!$E$157,0)*Assumptions!$E$160+MAX(MIN(J82,Assumptions!$E$161)-Assumptions!$E$159,0)*Assumptions!$E$162+MAX(J82-Assumptions!$E$161,0)*Assumptions!$E$163+MIN(J82,Assumptions!$E$165)*Assumptions!$E$164)</x:f>
        <x:v>305.5458077050607</x:v>
      </x:c>
      <x:c r="O82" s="26" t="str">
        <x:v>S34;S41;S42;S43;A18</x:v>
      </x:c>
      <x:c r="P82" s="26"/>
      <x:c r="Q82" s="26"/>
      <x:c r="R82" s="26"/>
      <x:c r="S82" s="26"/>
    </x:row>
    <x:row r="83">
      <x:c r="A83" s="26" t="n">
        <x:v>39</x:v>
      </x:c>
      <x:c r="B83" s="26" t="n">
        <x:v>59</x:v>
      </x:c>
      <x:c r="C83" s="26" t="str">
        <x:v>55–64</x:v>
      </x:c>
      <x:c r="D83" s="962" t="n">
        <x:f>Assumptions!$E$154</x:f>
        <x:v>37</x:v>
      </x:c>
      <x:c r="E83" s="963" t="n">
        <x:f>Assumptions!$E$150</x:f>
        <x:v>1.027</x:v>
      </x:c>
      <x:c r="F83" s="932" t="n">
        <x:f>Assumptions!$E$138</x:f>
        <x:v>37</x:v>
      </x:c>
      <x:c r="G83" s="932" t="n">
        <x:f>Assumptions!$E$139</x:f>
        <x:v>52</x:v>
      </x:c>
      <x:c r="H83" s="932" t="n">
        <x:f>Assumptions!$E$137</x:f>
        <x:v>0.85</x:v>
      </x:c>
      <x:c r="I83" s="963" t="n">
        <x:f>(1+Assumptions!$E$140)^(A83-1)</x:f>
        <x:v>1.208677247084767</x:v>
      </x:c>
      <x:c r="J83" s="167" t="n">
        <x:f>D83*E83*F83*G83*I83</x:f>
        <x:v>88366.48539383808</x:v>
      </x:c>
      <x:c r="K83" s="964" t="n">
        <x:f>1/(1+Assumptions!$E$15)^A83</x:f>
        <x:v>0.46194822348894127</x:v>
      </x:c>
      <x:c r="L83" s="964" t="n">
        <x:f>1/(1+Assumptions!$E$53)^A83</x:f>
        <x:v>0.21662060644945874</x:v>
      </x:c>
      <x:c r="M83" s="964" t="n">
        <x:f>1/(1+Assumptions!$E$16)^A83</x:f>
        <x:v>0.049713407964317585</x:v>
      </x:c>
      <x:c r="N83" s="965" t="n">
        <x:f>(MIN(J83*1.01,Assumptions!$E$155)*Assumptions!$E$156+MAX(MIN(J83*1.01,Assumptions!$E$157)-Assumptions!$E$155,0)*Assumptions!$E$158+MAX(MIN(J83*1.01,Assumptions!$E$159)-Assumptions!$E$157,0)*Assumptions!$E$160+MAX(MIN(J83*1.01,Assumptions!$E$161)-Assumptions!$E$159,0)*Assumptions!$E$162+MAX(J83*1.01-Assumptions!$E$161,0)*Assumptions!$E$163+MIN(J83*1.01,Assumptions!$E$165)*Assumptions!$E$164)-(MIN(J83,Assumptions!$E$155)*Assumptions!$E$156+MAX(MIN(J83,Assumptions!$E$157)-Assumptions!$E$155,0)*Assumptions!$E$158+MAX(MIN(J83,Assumptions!$E$159)-Assumptions!$E$157,0)*Assumptions!$E$160+MAX(MIN(J83,Assumptions!$E$161)-Assumptions!$E$159,0)*Assumptions!$E$162+MAX(J83-Assumptions!$E$161,0)*Assumptions!$E$163+MIN(J83,Assumptions!$E$165)*Assumptions!$E$164)</x:f>
        <x:v>307.07353674358455</x:v>
      </x:c>
      <x:c r="O83" s="26" t="str">
        <x:v>S34;S41;S42;S43;A18</x:v>
      </x:c>
      <x:c r="P83" s="26"/>
      <x:c r="Q83" s="26"/>
      <x:c r="R83" s="26"/>
      <x:c r="S83" s="26"/>
    </x:row>
    <x:row r="84">
      <x:c r="A84" s="26" t="n">
        <x:v>40</x:v>
      </x:c>
      <x:c r="B84" s="26" t="n">
        <x:v>60</x:v>
      </x:c>
      <x:c r="C84" s="26" t="str">
        <x:v>55–64</x:v>
      </x:c>
      <x:c r="D84" s="962" t="n">
        <x:f>Assumptions!$E$154</x:f>
        <x:v>37</x:v>
      </x:c>
      <x:c r="E84" s="963" t="n">
        <x:f>Assumptions!$E$150</x:f>
        <x:v>1.027</x:v>
      </x:c>
      <x:c r="F84" s="932" t="n">
        <x:f>Assumptions!$E$138</x:f>
        <x:v>37</x:v>
      </x:c>
      <x:c r="G84" s="932" t="n">
        <x:f>Assumptions!$E$139</x:f>
        <x:v>52</x:v>
      </x:c>
      <x:c r="H84" s="932" t="n">
        <x:f>Assumptions!$E$137</x:f>
        <x:v>0.85</x:v>
      </x:c>
      <x:c r="I84" s="963" t="n">
        <x:f>(1+Assumptions!$E$140)^(A84-1)</x:f>
        <x:v>1.2147206333201908</x:v>
      </x:c>
      <x:c r="J84" s="167" t="n">
        <x:f>D84*E84*F84*G84*I84</x:f>
        <x:v>88808.31782080726</x:v>
      </x:c>
      <x:c r="K84" s="964" t="n">
        <x:f>1/(1+Assumptions!$E$15)^A84</x:f>
        <x:v>0.45289041518523643</x:v>
      </x:c>
      <x:c r="L84" s="964" t="n">
        <x:f>1/(1+Assumptions!$E$53)^A84</x:f>
        <x:v>0.20828904466294101</x:v>
      </x:c>
      <x:c r="M84" s="964" t="n">
        <x:f>1/(1+Assumptions!$E$16)^A84</x:f>
        <x:v>0.04603093330029406</x:v>
      </x:c>
      <x:c r="N84" s="965" t="n">
        <x:f>(MIN(J84*1.01,Assumptions!$E$155)*Assumptions!$E$156+MAX(MIN(J84*1.01,Assumptions!$E$157)-Assumptions!$E$155,0)*Assumptions!$E$158+MAX(MIN(J84*1.01,Assumptions!$E$159)-Assumptions!$E$157,0)*Assumptions!$E$160+MAX(MIN(J84*1.01,Assumptions!$E$161)-Assumptions!$E$159,0)*Assumptions!$E$162+MAX(J84*1.01-Assumptions!$E$161,0)*Assumptions!$E$163+MIN(J84*1.01,Assumptions!$E$165)*Assumptions!$E$164)-(MIN(J84,Assumptions!$E$155)*Assumptions!$E$156+MAX(MIN(J84,Assumptions!$E$157)-Assumptions!$E$155,0)*Assumptions!$E$158+MAX(MIN(J84,Assumptions!$E$159)-Assumptions!$E$157,0)*Assumptions!$E$160+MAX(MIN(J84,Assumptions!$E$161)-Assumptions!$E$159,0)*Assumptions!$E$162+MAX(J84-Assumptions!$E$161,0)*Assumptions!$E$163+MIN(J84,Assumptions!$E$165)*Assumptions!$E$164)</x:f>
        <x:v>308.6089044273067</x:v>
      </x:c>
      <x:c r="O84" s="26" t="str">
        <x:v>S34;S41;S42;S43;A18</x:v>
      </x:c>
      <x:c r="P84" s="26"/>
      <x:c r="Q84" s="26"/>
      <x:c r="R84" s="26"/>
      <x:c r="S84" s="26"/>
    </x:row>
    <x:row r="85">
      <x:c r="A85" s="26" t="n">
        <x:v>41</x:v>
      </x:c>
      <x:c r="B85" s="26" t="n">
        <x:v>61</x:v>
      </x:c>
      <x:c r="C85" s="26" t="str">
        <x:v>55–64</x:v>
      </x:c>
      <x:c r="D85" s="962" t="n">
        <x:f>Assumptions!$E$154</x:f>
        <x:v>37</x:v>
      </x:c>
      <x:c r="E85" s="963" t="n">
        <x:f>Assumptions!$E$150</x:f>
        <x:v>1.027</x:v>
      </x:c>
      <x:c r="F85" s="932" t="n">
        <x:f>Assumptions!$E$138</x:f>
        <x:v>37</x:v>
      </x:c>
      <x:c r="G85" s="932" t="n">
        <x:f>Assumptions!$E$139</x:f>
        <x:v>52</x:v>
      </x:c>
      <x:c r="H85" s="932" t="n">
        <x:f>Assumptions!$E$137</x:f>
        <x:v>0.85</x:v>
      </x:c>
      <x:c r="I85" s="963" t="n">
        <x:f>(1+Assumptions!$E$140)^(A85-1)</x:f>
        <x:v>1.2207942364867916</x:v>
      </x:c>
      <x:c r="J85" s="167" t="n">
        <x:f>D85*E85*F85*G85*I85</x:f>
        <x:v>89252.3594099113</x:v>
      </x:c>
      <x:c r="K85" s="964" t="n">
        <x:f>1/(1+Assumptions!$E$15)^A85</x:f>
        <x:v>0.4440102109659181</x:v>
      </x:c>
      <x:c r="L85" s="964" t="n">
        <x:f>1/(1+Assumptions!$E$53)^A85</x:f>
        <x:v>0.2002779275605202</x:v>
      </x:c>
      <x:c r="M85" s="964" t="n">
        <x:f>1/(1+Assumptions!$E$16)^A85</x:f>
        <x:v>0.04262123453730931</x:v>
      </x:c>
      <x:c r="N85" s="965" t="n">
        <x:f>(MIN(J85*1.01,Assumptions!$E$155)*Assumptions!$E$156+MAX(MIN(J85*1.01,Assumptions!$E$157)-Assumptions!$E$155,0)*Assumptions!$E$158+MAX(MIN(J85*1.01,Assumptions!$E$159)-Assumptions!$E$157,0)*Assumptions!$E$160+MAX(MIN(J85*1.01,Assumptions!$E$161)-Assumptions!$E$159,0)*Assumptions!$E$162+MAX(J85*1.01-Assumptions!$E$161,0)*Assumptions!$E$163+MIN(J85*1.01,Assumptions!$E$165)*Assumptions!$E$164)-(MIN(J85,Assumptions!$E$155)*Assumptions!$E$156+MAX(MIN(J85,Assumptions!$E$157)-Assumptions!$E$155,0)*Assumptions!$E$158+MAX(MIN(J85,Assumptions!$E$159)-Assumptions!$E$157,0)*Assumptions!$E$160+MAX(MIN(J85,Assumptions!$E$161)-Assumptions!$E$159,0)*Assumptions!$E$162+MAX(J85-Assumptions!$E$161,0)*Assumptions!$E$163+MIN(J85,Assumptions!$E$165)*Assumptions!$E$164)</x:f>
        <x:v>310.15194894944216</x:v>
      </x:c>
      <x:c r="O85" s="26" t="str">
        <x:v>S34;S41;S42;S43;A18</x:v>
      </x:c>
      <x:c r="P85" s="26"/>
      <x:c r="Q85" s="26"/>
      <x:c r="R85" s="26"/>
      <x:c r="S85" s="26"/>
    </x:row>
    <x:row r="86">
      <x:c r="A86" s="26" t="n">
        <x:v>42</x:v>
      </x:c>
      <x:c r="B86" s="26" t="n">
        <x:v>62</x:v>
      </x:c>
      <x:c r="C86" s="26" t="str">
        <x:v>55–64</x:v>
      </x:c>
      <x:c r="D86" s="962" t="n">
        <x:f>Assumptions!$E$154</x:f>
        <x:v>37</x:v>
      </x:c>
      <x:c r="E86" s="963" t="n">
        <x:f>Assumptions!$E$150</x:f>
        <x:v>1.027</x:v>
      </x:c>
      <x:c r="F86" s="932" t="n">
        <x:f>Assumptions!$E$138</x:f>
        <x:v>37</x:v>
      </x:c>
      <x:c r="G86" s="932" t="n">
        <x:f>Assumptions!$E$139</x:f>
        <x:v>52</x:v>
      </x:c>
      <x:c r="H86" s="932" t="n">
        <x:f>Assumptions!$E$137</x:f>
        <x:v>0.85</x:v>
      </x:c>
      <x:c r="I86" s="963" t="n">
        <x:f>(1+Assumptions!$E$140)^(A86-1)</x:f>
        <x:v>1.2268982076692254</x:v>
      </x:c>
      <x:c r="J86" s="167" t="n">
        <x:f>D86*E86*F86*G86*I86</x:f>
        <x:v>89698.62120696083</x:v>
      </x:c>
      <x:c r="K86" s="964" t="n">
        <x:f>1/(1+Assumptions!$E$15)^A86</x:f>
        <x:v>0.4353041283979589</x:v>
      </x:c>
      <x:c r="L86" s="964" t="n">
        <x:f>1/(1+Assumptions!$E$53)^A86</x:f>
        <x:v>0.19257493034665407</x:v>
      </x:c>
      <x:c r="M86" s="964" t="n">
        <x:f>1/(1+Assumptions!$E$16)^A86</x:f>
        <x:v>0.03946410605306418</x:v>
      </x:c>
      <x:c r="N86" s="965" t="n">
        <x:f>(MIN(J86*1.01,Assumptions!$E$155)*Assumptions!$E$156+MAX(MIN(J86*1.01,Assumptions!$E$157)-Assumptions!$E$155,0)*Assumptions!$E$158+MAX(MIN(J86*1.01,Assumptions!$E$159)-Assumptions!$E$157,0)*Assumptions!$E$160+MAX(MIN(J86*1.01,Assumptions!$E$161)-Assumptions!$E$159,0)*Assumptions!$E$162+MAX(J86*1.01-Assumptions!$E$161,0)*Assumptions!$E$163+MIN(J86*1.01,Assumptions!$E$165)*Assumptions!$E$164)-(MIN(J86,Assumptions!$E$155)*Assumptions!$E$156+MAX(MIN(J86,Assumptions!$E$157)-Assumptions!$E$155,0)*Assumptions!$E$158+MAX(MIN(J86,Assumptions!$E$159)-Assumptions!$E$157,0)*Assumptions!$E$160+MAX(MIN(J86,Assumptions!$E$161)-Assumptions!$E$159,0)*Assumptions!$E$162+MAX(J86-Assumptions!$E$161,0)*Assumptions!$E$163+MIN(J86,Assumptions!$E$165)*Assumptions!$E$164)</x:f>
        <x:v>311.7027086941853</x:v>
      </x:c>
      <x:c r="O86" s="26" t="str">
        <x:v>S34;S41;S42;S43;A18</x:v>
      </x:c>
      <x:c r="P86" s="26"/>
      <x:c r="Q86" s="26"/>
      <x:c r="R86" s="26"/>
      <x:c r="S86" s="26"/>
    </x:row>
    <x:row r="87">
      <x:c r="A87" s="26" t="n">
        <x:v>43</x:v>
      </x:c>
      <x:c r="B87" s="26" t="n">
        <x:v>63</x:v>
      </x:c>
      <x:c r="C87" s="26" t="str">
        <x:v>55–64</x:v>
      </x:c>
      <x:c r="D87" s="962" t="n">
        <x:f>Assumptions!$E$154</x:f>
        <x:v>37</x:v>
      </x:c>
      <x:c r="E87" s="963" t="n">
        <x:f>Assumptions!$E$150</x:f>
        <x:v>1.027</x:v>
      </x:c>
      <x:c r="F87" s="932" t="n">
        <x:f>Assumptions!$E$138</x:f>
        <x:v>37</x:v>
      </x:c>
      <x:c r="G87" s="932" t="n">
        <x:f>Assumptions!$E$139</x:f>
        <x:v>52</x:v>
      </x:c>
      <x:c r="H87" s="932" t="n">
        <x:f>Assumptions!$E$137</x:f>
        <x:v>0.85</x:v>
      </x:c>
      <x:c r="I87" s="963" t="n">
        <x:f>(1+Assumptions!$E$140)^(A87-1)</x:f>
        <x:v>1.2330326987075713</x:v>
      </x:c>
      <x:c r="J87" s="167" t="n">
        <x:f>D87*E87*F87*G87*I87</x:f>
        <x:v>90147.11431299562</x:v>
      </x:c>
      <x:c r="K87" s="964" t="n">
        <x:f>1/(1+Assumptions!$E$15)^A87</x:f>
        <x:v>0.4267687533313323</x:v>
      </x:c>
      <x:c r="L87" s="964" t="n">
        <x:f>1/(1+Assumptions!$E$53)^A87</x:f>
        <x:v>0.18516820225639813</x:v>
      </x:c>
      <x:c r="M87" s="964" t="n">
        <x:f>1/(1+Assumptions!$E$16)^A87</x:f>
        <x:v>0.03654083893802239</x:v>
      </x:c>
      <x:c r="N87" s="965" t="n">
        <x:f>(MIN(J87*1.01,Assumptions!$E$155)*Assumptions!$E$156+MAX(MIN(J87*1.01,Assumptions!$E$157)-Assumptions!$E$155,0)*Assumptions!$E$158+MAX(MIN(J87*1.01,Assumptions!$E$159)-Assumptions!$E$157,0)*Assumptions!$E$160+MAX(MIN(J87*1.01,Assumptions!$E$161)-Assumptions!$E$159,0)*Assumptions!$E$162+MAX(J87*1.01-Assumptions!$E$161,0)*Assumptions!$E$163+MIN(J87*1.01,Assumptions!$E$165)*Assumptions!$E$164)-(MIN(J87,Assumptions!$E$155)*Assumptions!$E$156+MAX(MIN(J87,Assumptions!$E$157)-Assumptions!$E$155,0)*Assumptions!$E$158+MAX(MIN(J87,Assumptions!$E$159)-Assumptions!$E$157,0)*Assumptions!$E$160+MAX(MIN(J87,Assumptions!$E$161)-Assumptions!$E$159,0)*Assumptions!$E$162+MAX(J87-Assumptions!$E$161,0)*Assumptions!$E$163+MIN(J87,Assumptions!$E$165)*Assumptions!$E$164)</x:f>
        <x:v>313.26122223765924</x:v>
      </x:c>
      <x:c r="O87" s="26" t="str">
        <x:v>S34;S41;S42;S43;A18</x:v>
      </x:c>
      <x:c r="P87" s="26"/>
      <x:c r="Q87" s="26"/>
      <x:c r="R87" s="26"/>
      <x:c r="S87" s="26"/>
    </x:row>
    <x:row r="88">
      <x:c r="A88" s="26" t="n">
        <x:v>44</x:v>
      </x:c>
      <x:c r="B88" s="26" t="n">
        <x:v>64</x:v>
      </x:c>
      <x:c r="C88" s="26" t="str">
        <x:v>55–64</x:v>
      </x:c>
      <x:c r="D88" s="962" t="n">
        <x:f>Assumptions!$E$154</x:f>
        <x:v>37</x:v>
      </x:c>
      <x:c r="E88" s="963" t="n">
        <x:f>Assumptions!$E$150</x:f>
        <x:v>1.027</x:v>
      </x:c>
      <x:c r="F88" s="932" t="n">
        <x:f>Assumptions!$E$138</x:f>
        <x:v>37</x:v>
      </x:c>
      <x:c r="G88" s="932" t="n">
        <x:f>Assumptions!$E$139</x:f>
        <x:v>52</x:v>
      </x:c>
      <x:c r="H88" s="932" t="n">
        <x:f>Assumptions!$E$137</x:f>
        <x:v>0.85</x:v>
      </x:c>
      <x:c r="I88" s="963" t="n">
        <x:f>(1+Assumptions!$E$140)^(A88-1)</x:f>
        <x:v>1.239197862201109</x:v>
      </x:c>
      <x:c r="J88" s="167" t="n">
        <x:f>D88*E88*F88*G88*I88</x:f>
        <x:v>90597.8498845606</x:v>
      </x:c>
      <x:c r="K88" s="964" t="n">
        <x:f>1/(1+Assumptions!$E$15)^A88</x:f>
        <x:v>0.41840073856012966</x:v>
      </x:c>
      <x:c r="L88" s="964" t="n">
        <x:f>1/(1+Assumptions!$E$53)^A88</x:f>
        <x:v>0.17804634832345972</x:v>
      </x:c>
      <x:c r="M88" s="964" t="n">
        <x:f>1/(1+Assumptions!$E$16)^A88</x:f>
        <x:v>0.0338341101277985</x:v>
      </x:c>
      <x:c r="N88" s="965" t="n">
        <x:f>(MIN(J88*1.01,Assumptions!$E$155)*Assumptions!$E$156+MAX(MIN(J88*1.01,Assumptions!$E$157)-Assumptions!$E$155,0)*Assumptions!$E$158+MAX(MIN(J88*1.01,Assumptions!$E$159)-Assumptions!$E$157,0)*Assumptions!$E$160+MAX(MIN(J88*1.01,Assumptions!$E$161)-Assumptions!$E$159,0)*Assumptions!$E$162+MAX(J88*1.01-Assumptions!$E$161,0)*Assumptions!$E$163+MIN(J88*1.01,Assumptions!$E$165)*Assumptions!$E$164)-(MIN(J88,Assumptions!$E$155)*Assumptions!$E$156+MAX(MIN(J88,Assumptions!$E$157)-Assumptions!$E$155,0)*Assumptions!$E$158+MAX(MIN(J88,Assumptions!$E$159)-Assumptions!$E$157,0)*Assumptions!$E$160+MAX(MIN(J88,Assumptions!$E$161)-Assumptions!$E$159,0)*Assumptions!$E$162+MAX(J88-Assumptions!$E$161,0)*Assumptions!$E$163+MIN(J88,Assumptions!$E$165)*Assumptions!$E$164)</x:f>
        <x:v>314.8275283488474</x:v>
      </x:c>
      <x:c r="O88" s="26" t="str">
        <x:v>S34;S41;S42;S43;A18</x:v>
      </x:c>
      <x:c r="P88" s="26"/>
      <x:c r="Q88" s="26"/>
      <x:c r="R88" s="26"/>
      <x:c r="S88" s="26"/>
    </x:row>
    <x:row r="89">
      <x:c r="A89" s="26"/>
      <x:c r="B89" s="26"/>
      <x:c r="C89" s="26"/>
      <x:c r="D89" s="26"/>
      <x:c r="E89" s="26"/>
      <x:c r="F89" s="26"/>
      <x:c r="G89" s="26"/>
      <x:c r="H89" s="26"/>
      <x:c r="I89" s="26"/>
      <x:c r="J89" s="26"/>
      <x:c r="K89" s="26"/>
      <x:c r="L89" s="26"/>
      <x:c r="M89" s="26"/>
      <x:c r="N89" s="26"/>
      <x:c r="O89" s="26"/>
      <x:c r="P89" s="26"/>
      <x:c r="Q89" s="26"/>
      <x:c r="R89" s="26"/>
      <x:c r="S89" s="26"/>
    </x:row>
    <x:row r="90">
      <x:c r="A90" s="943" t="str">
        <x:v>PV of a 1% real earnings uplift per effective employed participant</x:v>
      </x:c>
      <x:c r="B90" s="943"/>
      <x:c r="C90" s="943"/>
      <x:c r="D90" s="943"/>
      <x:c r="E90" s="943"/>
      <x:c r="F90" s="943"/>
      <x:c r="G90" s="943"/>
      <x:c r="H90" s="943"/>
      <x:c r="I90" s="943"/>
      <x:c r="J90" s="943"/>
      <x:c r="K90" s="944" t="n">
        <x:f>SUMPRODUCT(J45:J88,K45:K88)*1%</x:f>
        <x:v>22837.796463001287</x:v>
      </x:c>
      <x:c r="L90" s="944" t="n">
        <x:f>SUMPRODUCT(J45:J88,L45:L88)*1%</x:f>
        <x:v>15599.294742322358</x:v>
      </x:c>
      <x:c r="M90" s="944" t="n">
        <x:f>SUMPRODUCT(J45:J88,M45:M88)*1%</x:f>
        <x:v>8588.922099713627</x:v>
      </x:c>
      <x:c r="N90" s="943" t="str">
        <x:v>2% Treasury-aligned / 4% intermediate / 8% high</x:v>
      </x:c>
      <x:c r="O90" s="26"/>
      <x:c r="P90" s="26"/>
      <x:c r="Q90" s="26"/>
      <x:c r="R90" s="26"/>
      <x:c r="S90" s="26"/>
    </x:row>
    <x:row r="91">
      <x:c r="A91" s="947" t="str">
        <x:v>PV of incremental income tax and ACC from a 1% earnings uplift per effective employed participant</x:v>
      </x:c>
      <x:c r="B91" s="947"/>
      <x:c r="C91" s="947"/>
      <x:c r="D91" s="947"/>
      <x:c r="E91" s="947"/>
      <x:c r="F91" s="947"/>
      <x:c r="G91" s="947"/>
      <x:c r="H91" s="947"/>
      <x:c r="I91" s="947"/>
      <x:c r="J91" s="947"/>
      <x:c r="K91" s="948" t="n">
        <x:f>SUMPRODUCT(N45:N88,K45:K88)</x:f>
        <x:v>7449.912488482769</x:v>
      </x:c>
      <x:c r="L91" s="948" t="n">
        <x:f>SUMPRODUCT(N45:N88,L45:L88)</x:f>
        <x:v>4978.471834437476</x:v>
      </x:c>
      <x:c r="M91" s="948" t="n">
        <x:f>SUMPRODUCT(N45:N88,M45:M88)</x:f>
        <x:v>2611.33992982718</x:v>
      </x:c>
      <x:c r="N91" s="947" t="str">
        <x:v>2% Treasury-aligned / 4% intermediate / 8% high</x:v>
      </x:c>
      <x:c r="O91" s="26"/>
      <x:c r="P91" s="26"/>
      <x:c r="Q91" s="26"/>
      <x:c r="R91" s="26"/>
      <x:c r="S91" s="26"/>
    </x:row>
    <x:row r="92">
      <x:c r="A92" s="26"/>
      <x:c r="B92" s="26"/>
      <x:c r="C92" s="26"/>
      <x:c r="D92" s="26"/>
      <x:c r="E92" s="26"/>
      <x:c r="F92" s="26"/>
      <x:c r="G92" s="26"/>
      <x:c r="H92" s="26"/>
      <x:c r="I92" s="26"/>
      <x:c r="J92" s="26"/>
      <x:c r="K92" s="26"/>
      <x:c r="L92" s="26"/>
      <x:c r="M92" s="26"/>
      <x:c r="N92" s="26"/>
      <x:c r="O92" s="26"/>
      <x:c r="P92" s="26"/>
      <x:c r="Q92" s="26"/>
      <x:c r="R92" s="26"/>
      <x:c r="S92" s="26"/>
    </x:row>
    <x:row r="93">
      <x:c r="A93" s="26"/>
      <x:c r="B93" s="26"/>
      <x:c r="C93" s="26"/>
      <x:c r="D93" s="26"/>
      <x:c r="E93" s="26"/>
      <x:c r="F93" s="26"/>
      <x:c r="G93" s="26"/>
      <x:c r="H93" s="26"/>
      <x:c r="I93" s="26"/>
      <x:c r="J93" s="26"/>
      <x:c r="K93" s="26"/>
      <x:c r="L93" s="26"/>
      <x:c r="M93" s="26"/>
      <x:c r="N93" s="26"/>
      <x:c r="O93" s="26"/>
      <x:c r="P93" s="26"/>
      <x:c r="Q93" s="26"/>
      <x:c r="R93" s="26"/>
      <x:c r="S93" s="26"/>
    </x:row>
    <x:row r="94" ht="23" customHeight="1">
      <x:c r="A94" s="905" t="str">
        <x:v>Whole-cohort earnings sensitivity — mature national design</x:v>
      </x:c>
      <x:c r="B94" s="905"/>
      <x:c r="C94" s="905"/>
      <x:c r="D94" s="905"/>
      <x:c r="E94" s="905"/>
      <x:c r="F94" s="905"/>
      <x:c r="G94" s="905"/>
      <x:c r="H94" s="905"/>
      <x:c r="I94" s="905"/>
      <x:c r="J94" s="905"/>
      <x:c r="K94" s="905"/>
      <x:c r="L94" s="905"/>
      <x:c r="M94" s="905"/>
      <x:c r="N94" s="905"/>
      <x:c r="O94" s="905"/>
      <x:c r="P94" s="905"/>
      <x:c r="Q94" s="905"/>
      <x:c r="R94" s="905"/>
      <x:c r="S94" s="905"/>
    </x:row>
    <x:row r="95" ht="30" customHeight="1">
      <x:c r="A95" s="909" t="str">
        <x:v>Earnings uplift</x:v>
      </x:c>
      <x:c r="B95" s="909" t="str">
        <x:v>Effective affected employed population</x:v>
      </x:c>
      <x:c r="C95" s="909" t="str">
        <x:v>Lifetime earnings PV — 2%</x:v>
      </x:c>
      <x:c r="D95" s="909" t="str">
        <x:v>Lifetime earnings PV — 4%</x:v>
      </x:c>
      <x:c r="E95" s="909" t="str">
        <x:v>Lifetime earnings PV — 8%</x:v>
      </x:c>
      <x:c r="F95" s="909" t="str">
        <x:v>Tax + ACC PV — 2%</x:v>
      </x:c>
      <x:c r="G95" s="909" t="str">
        <x:v>Tax + ACC PV — 4%</x:v>
      </x:c>
      <x:c r="H95" s="909" t="str">
        <x:v>Tax + ACC PV — 8%</x:v>
      </x:c>
      <x:c r="I95" s="909" t="str">
        <x:v>Benefit savings PV — 4%</x:v>
      </x:c>
      <x:c r="J95" s="1050" t="str">
        <x:v>Full-expenditure social-investment BCR — 2%</x:v>
      </x:c>
      <x:c r="K95" s="1050" t="str">
        <x:v>Full-expenditure social-investment BCR — 4%</x:v>
      </x:c>
      <x:c r="L95" s="1050" t="str">
        <x:v>Full-expenditure social-investment BCR — 8%</x:v>
      </x:c>
      <x:c r="M95" s="1050" t="str">
        <x:v>Crown fiscal coverage — 4%</x:v>
      </x:c>
      <x:c r="N95" s="1050" t="str">
        <x:v>Interpretation</x:v>
      </x:c>
      <x:c r="O95" s="1057" t="str">
        <x:v>Provisional alternative economic treatment of participant transfers — not Treasury-confirmed — 2%</x:v>
      </x:c>
      <x:c r="P95" s="1057" t="str">
        <x:v>Provisional alternative economic treatment of participant transfers — not Treasury-confirmed — 4%</x:v>
      </x:c>
      <x:c r="Q95" s="1057" t="str">
        <x:v>Provisional alternative economic treatment of participant transfers — not Treasury-confirmed — 8%</x:v>
      </x:c>
      <x:c r="R95" s="1060" t="str">
        <x:v>Method status</x:v>
      </x:c>
      <x:c r="S95" s="1060" t="str">
        <x:v>Uplift interpretation</x:v>
      </x:c>
    </x:row>
    <x:row r="96">
      <x:c r="A96" s="966" t="n">
        <x:v>0</x:v>
      </x:c>
      <x:c r="B96" s="967" t="n">
        <x:f>$B$41</x:f>
        <x:v>8583.853270349473</x:v>
      </x:c>
      <x:c r="C96" s="968" t="n">
        <x:f>B96*$K$90*(A96/1%)</x:f>
        <x:v>0</x:v>
      </x:c>
      <x:c r="D96" s="968" t="n">
        <x:f>B96*$L$90*(A96/1%)</x:f>
        <x:v>0</x:v>
      </x:c>
      <x:c r="E96" s="968" t="n">
        <x:f>B96*$M$90*(A96/1%)</x:f>
        <x:v>0</x:v>
      </x:c>
      <x:c r="F96" s="968" t="n">
        <x:f>B96*$K$91*(A96/1%)</x:f>
        <x:v>0</x:v>
      </x:c>
      <x:c r="G96" s="968" t="n">
        <x:f>B96*$L$91*(A96/1%)</x:f>
        <x:v>0</x:v>
      </x:c>
      <x:c r="H96" s="968" t="n">
        <x:f>B96*$M$91*(A96/1%)</x:f>
        <x:v>0</x:v>
      </x:c>
      <x:c r="I96" s="968" t="n">
        <x:f>$B$39*Assumptions!$E$148*Assumptions!$E$149*Assumptions!$E$48/(1+Assumptions!$E$53)^2</x:f>
        <x:v>1602843.3811791833</x:v>
      </x:c>
      <x:c r="J96" s="1052" t="n">
        <x:f>('Benefits &amp; BCR'!$C$24+'Cohort Bridge'!$D$30+C96)/'Stage 2 - National'!$K$48</x:f>
        <x:v>0.25333759922376436</x:v>
      </x:c>
      <x:c r="K96" s="1052" t="n">
        <x:f>('Benefits &amp; BCR'!$C$24+'Cohort Bridge'!$D$30+D96)/'Stage 2 - National'!$K$48</x:f>
        <x:v>0.25333759922376436</x:v>
      </x:c>
      <x:c r="L96" s="1052" t="n">
        <x:f>('Benefits &amp; BCR'!$C$24+'Cohort Bridge'!$D$30+E96)/'Stage 2 - National'!$K$48</x:f>
        <x:v>0.25333759922376436</x:v>
      </x:c>
      <x:c r="M96" s="1052" t="n">
        <x:f>('Benefits &amp; BCR'!$C$25+'Cohort Bridge'!$D$30+G96+I96)/('Stage 2 - National'!$K$48-'Delivery Scenarios'!$B$14)</x:f>
        <x:v>0.11112842821032895</x:v>
      </x:c>
      <x:c r="N96" s="1051" t="str">
        <x:v>Sensitivity only; the uplift is not a forecast.</x:v>
      </x:c>
      <x:c r="O96" s="1051" t="n">
        <x:f>('Benefits &amp; BCR'!$C$24+'Cohort Bridge'!$D$30+C96)/('Stage 2 - National'!$K$48-'Stage 2 - National'!$K$15)</x:f>
        <x:v>1.245820816324538</x:v>
      </x:c>
      <x:c r="P96" s="1051" t="n">
        <x:f>('Benefits &amp; BCR'!$C$24+'Cohort Bridge'!$D$30+D96)/('Stage 2 - National'!$K$48-'Stage 2 - National'!$K$15)</x:f>
        <x:v>1.245820816324538</x:v>
      </x:c>
      <x:c r="Q96" s="1051" t="n">
        <x:f>('Benefits &amp; BCR'!$C$24+'Cohort Bridge'!$D$30+E96)/('Stage 2 - National'!$K$48-'Stage 2 - National'!$K$15)</x:f>
        <x:v>1.245820816324538</x:v>
      </x:c>
      <x:c r="R96" s="26" t="str">
        <x:v>Provisional methodology — Treasury confirmation required</x:v>
      </x:c>
      <x:c r="S96" s="26" t="str">
        <x:v>Affected-population uplift; see Earnings Uplift Bridge for cohort-equivalent measures.</x:v>
      </x:c>
    </x:row>
    <x:row r="97">
      <x:c r="A97" s="966" t="n">
        <x:v>0.0025</x:v>
      </x:c>
      <x:c r="B97" s="967" t="n">
        <x:f>$B$41</x:f>
        <x:v>8583.853270349473</x:v>
      </x:c>
      <x:c r="C97" s="968" t="n">
        <x:f>B97*$K$90*(A97/1%)</x:f>
        <x:v>49009073.4641273</x:v>
      </x:c>
      <x:c r="D97" s="968" t="n">
        <x:f>B97*$L$90*(A97/1%)</x:f>
        <x:v>33475514.297257278</x:v>
      </x:c>
      <x:c r="E97" s="968" t="n">
        <x:f>B97*$M$90*(A97/1%)</x:f>
        <x:v>18431511.76360092</x:v>
      </x:c>
      <x:c r="F97" s="968" t="n">
        <x:f>B97*$K$91*(A97/1%)</x:f>
        <x:v>15987238.919520048</x:v>
      </x:c>
      <x:c r="G97" s="968" t="n">
        <x:f>B97*$L$91*(A97/1%)</x:f>
        <x:v>10683617.934344716</x:v>
      </x:c>
      <x:c r="H97" s="968" t="n">
        <x:f>B97*$M$91*(A97/1%)</x:f>
        <x:v>5603839.699160301</x:v>
      </x:c>
      <x:c r="I97" s="968" t="n">
        <x:f>$B$39*Assumptions!$E$148*Assumptions!$E$149*Assumptions!$E$48/(1+Assumptions!$E$53)^2</x:f>
        <x:v>1602843.3811791833</x:v>
      </x:c>
      <x:c r="J97" s="1052" t="n">
        <x:f>('Benefits &amp; BCR'!$C$24+'Cohort Bridge'!$D$30+C97)/'Stage 2 - National'!$K$48</x:f>
        <x:v>0.28545073851006214</x:v>
      </x:c>
      <x:c r="K97" s="1052" t="n">
        <x:f>('Benefits &amp; BCR'!$C$24+'Cohort Bridge'!$D$30+D97)/'Stage 2 - National'!$K$48</x:f>
        <x:v>0.27527239164735784</x:v>
      </x:c>
      <x:c r="L97" s="1052" t="n">
        <x:f>('Benefits &amp; BCR'!$C$24+'Cohort Bridge'!$D$30+E97)/'Stage 2 - National'!$K$48</x:f>
        <x:v>0.2654148262081675</x:v>
      </x:c>
      <x:c r="M97" s="1052" t="n">
        <x:f>('Benefits &amp; BCR'!$C$25+'Cohort Bridge'!$D$30+G97+I97)/('Stage 2 - National'!$K$48-'Delivery Scenarios'!$B$14)</x:f>
        <x:v>0.11812885663218689</x:v>
      </x:c>
      <x:c r="N97" s="1051" t="str">
        <x:v>Sensitivity only; the uplift is not a forecast.</x:v>
      </x:c>
      <x:c r="O97" s="1051" t="n">
        <x:f>('Benefits &amp; BCR'!$C$24+'Cohort Bridge'!$D$30+C97)/('Stage 2 - National'!$K$48-'Stage 2 - National'!$K$15)</x:f>
        <x:v>1.4037413836741248</x:v>
      </x:c>
      <x:c r="P97" s="1051" t="n">
        <x:f>('Benefits &amp; BCR'!$C$24+'Cohort Bridge'!$D$30+D97)/('Stage 2 - National'!$K$48-'Stage 2 - National'!$K$15)</x:f>
        <x:v>1.3536880302193603</x:v>
      </x:c>
      <x:c r="Q97" s="1051" t="n">
        <x:f>('Benefits &amp; BCR'!$C$24+'Cohort Bridge'!$D$30+E97)/('Stage 2 - National'!$K$48-'Stage 2 - National'!$K$15)</x:f>
        <x:v>1.3052121614179923</x:v>
      </x:c>
      <x:c r="R97" s="26" t="str">
        <x:v>Provisional methodology — Treasury confirmation required</x:v>
      </x:c>
      <x:c r="S97" s="26" t="str">
        <x:v>Affected-population uplift; see Earnings Uplift Bridge for cohort-equivalent measures.</x:v>
      </x:c>
    </x:row>
    <x:row r="98">
      <x:c r="A98" s="966" t="n">
        <x:v>0.005</x:v>
      </x:c>
      <x:c r="B98" s="967" t="n">
        <x:f>$B$41</x:f>
        <x:v>8583.853270349473</x:v>
      </x:c>
      <x:c r="C98" s="968" t="n">
        <x:f>B98*$K$90*(A98/1%)</x:f>
        <x:v>98018146.9282546</x:v>
      </x:c>
      <x:c r="D98" s="968" t="n">
        <x:f>B98*$L$90*(A98/1%)</x:f>
        <x:v>66951028.594514556</x:v>
      </x:c>
      <x:c r="E98" s="968" t="n">
        <x:f>B98*$M$90*(A98/1%)</x:f>
        <x:v>36863023.52720184</x:v>
      </x:c>
      <x:c r="F98" s="968" t="n">
        <x:f>B98*$K$91*(A98/1%)</x:f>
        <x:v>31974477.839040097</x:v>
      </x:c>
      <x:c r="G98" s="968" t="n">
        <x:f>B98*$L$91*(A98/1%)</x:f>
        <x:v>21367235.868689433</x:v>
      </x:c>
      <x:c r="H98" s="968" t="n">
        <x:f>B98*$M$91*(A98/1%)</x:f>
        <x:v>11207679.398320602</x:v>
      </x:c>
      <x:c r="I98" s="968" t="n">
        <x:f>$B$39*Assumptions!$E$148*Assumptions!$E$149*Assumptions!$E$48/(1+Assumptions!$E$53)^2</x:f>
        <x:v>1602843.3811791833</x:v>
      </x:c>
      <x:c r="J98" s="1052" t="n">
        <x:f>('Benefits &amp; BCR'!$C$24+'Cohort Bridge'!$D$30+C98)/'Stage 2 - National'!$K$48</x:f>
        <x:v>0.31756387779636</x:v>
      </x:c>
      <x:c r="K98" s="1052" t="n">
        <x:f>('Benefits &amp; BCR'!$C$24+'Cohort Bridge'!$D$30+D98)/'Stage 2 - National'!$K$48</x:f>
        <x:v>0.2972071840709513</x:v>
      </x:c>
      <x:c r="L98" s="1052" t="n">
        <x:f>('Benefits &amp; BCR'!$C$24+'Cohort Bridge'!$D$30+E98)/'Stage 2 - National'!$K$48</x:f>
        <x:v>0.2774920531925706</x:v>
      </x:c>
      <x:c r="M98" s="1052" t="n">
        <x:f>('Benefits &amp; BCR'!$C$25+'Cohort Bridge'!$D$30+G98+I98)/('Stage 2 - National'!$K$48-'Delivery Scenarios'!$B$14)</x:f>
        <x:v>0.12512928505404483</x:v>
      </x:c>
      <x:c r="N98" s="1051" t="str">
        <x:v>Sensitivity only; the uplift is not a forecast.</x:v>
      </x:c>
      <x:c r="O98" s="1051" t="n">
        <x:f>('Benefits &amp; BCR'!$C$24+'Cohort Bridge'!$D$30+C98)/('Stage 2 - National'!$K$48-'Stage 2 - National'!$K$15)</x:f>
        <x:v>1.5616619510237117</x:v>
      </x:c>
      <x:c r="P98" s="1051" t="n">
        <x:f>('Benefits &amp; BCR'!$C$24+'Cohort Bridge'!$D$30+D98)/('Stage 2 - National'!$K$48-'Stage 2 - National'!$K$15)</x:f>
        <x:v>1.4615552441141824</x:v>
      </x:c>
      <x:c r="Q98" s="1051" t="n">
        <x:f>('Benefits &amp; BCR'!$C$24+'Cohort Bridge'!$D$30+E98)/('Stage 2 - National'!$K$48-'Stage 2 - National'!$K$15)</x:f>
        <x:v>1.3646035065114466</x:v>
      </x:c>
      <x:c r="R98" s="26" t="str">
        <x:v>Provisional methodology — Treasury confirmation required</x:v>
      </x:c>
      <x:c r="S98" s="26" t="str">
        <x:v>Affected-population uplift; see Earnings Uplift Bridge for cohort-equivalent measures.</x:v>
      </x:c>
    </x:row>
    <x:row r="99">
      <x:c r="A99" s="966" t="n">
        <x:v>0.01</x:v>
      </x:c>
      <x:c r="B99" s="967" t="n">
        <x:f>$B$41</x:f>
        <x:v>8583.853270349473</x:v>
      </x:c>
      <x:c r="C99" s="968" t="n">
        <x:f>B99*$K$90*(A99/1%)</x:f>
        <x:v>196036293.8565092</x:v>
      </x:c>
      <x:c r="D99" s="968" t="n">
        <x:f>B99*$L$90*(A99/1%)</x:f>
        <x:v>133902057.18902911</x:v>
      </x:c>
      <x:c r="E99" s="968" t="n">
        <x:f>B99*$M$90*(A99/1%)</x:f>
        <x:v>73726047.05440368</x:v>
      </x:c>
      <x:c r="F99" s="968" t="n">
        <x:f>B99*$K$91*(A99/1%)</x:f>
        <x:v>63948955.67808019</x:v>
      </x:c>
      <x:c r="G99" s="968" t="n">
        <x:f>B99*$L$91*(A99/1%)</x:f>
        <x:v>42734471.737378865</x:v>
      </x:c>
      <x:c r="H99" s="968" t="n">
        <x:f>B99*$M$91*(A99/1%)</x:f>
        <x:v>22415358.796641205</x:v>
      </x:c>
      <x:c r="I99" s="968" t="n">
        <x:f>$B$39*Assumptions!$E$148*Assumptions!$E$149*Assumptions!$E$48/(1+Assumptions!$E$53)^2</x:f>
        <x:v>1602843.3811791833</x:v>
      </x:c>
      <x:c r="J99" s="1052" t="n">
        <x:f>('Benefits &amp; BCR'!$C$24+'Cohort Bridge'!$D$30+C99)/'Stage 2 - National'!$K$48</x:f>
        <x:v>0.3817901563689555</x:v>
      </x:c>
      <x:c r="K99" s="1052" t="n">
        <x:f>('Benefits &amp; BCR'!$C$24+'Cohort Bridge'!$D$30+D99)/'Stage 2 - National'!$K$48</x:f>
        <x:v>0.3410767689181383</x:v>
      </x:c>
      <x:c r="L99" s="1052" t="n">
        <x:f>('Benefits &amp; BCR'!$C$24+'Cohort Bridge'!$D$30+E99)/'Stage 2 - National'!$K$48</x:f>
        <x:v>0.3016465071613768</x:v>
      </x:c>
      <x:c r="M99" s="1052" t="n">
        <x:f>('Benefits &amp; BCR'!$C$25+'Cohort Bridge'!$D$30+G99+I99)/('Stage 2 - National'!$K$48-'Delivery Scenarios'!$B$14)</x:f>
        <x:v>0.13913014189776074</x:v>
      </x:c>
      <x:c r="N99" s="1051" t="str">
        <x:v>Sensitivity only; the uplift is not a forecast.</x:v>
      </x:c>
      <x:c r="O99" s="1051" t="n">
        <x:f>('Benefits &amp; BCR'!$C$24+'Cohort Bridge'!$D$30+C99)/('Stage 2 - National'!$K$48-'Stage 2 - National'!$K$15)</x:f>
        <x:v>1.8775030857228854</x:v>
      </x:c>
      <x:c r="P99" s="1051" t="n">
        <x:f>('Benefits &amp; BCR'!$C$24+'Cohort Bridge'!$D$30+D99)/('Stage 2 - National'!$K$48-'Stage 2 - National'!$K$15)</x:f>
        <x:v>1.6772896719038268</x:v>
      </x:c>
      <x:c r="Q99" s="1051" t="n">
        <x:f>('Benefits &amp; BCR'!$C$24+'Cohort Bridge'!$D$30+E99)/('Stage 2 - National'!$K$48-'Stage 2 - National'!$K$15)</x:f>
        <x:v>1.4833861966983553</x:v>
      </x:c>
      <x:c r="R99" s="26" t="str">
        <x:v>Provisional methodology — Treasury confirmation required</x:v>
      </x:c>
      <x:c r="S99" s="26" t="str">
        <x:v>Affected-population uplift; see Earnings Uplift Bridge for cohort-equivalent measures.</x:v>
      </x:c>
    </x:row>
    <x:row r="100">
      <x:c r="A100" s="966" t="n">
        <x:v>0.02</x:v>
      </x:c>
      <x:c r="B100" s="967" t="n">
        <x:f>$B$41</x:f>
        <x:v>8583.853270349473</x:v>
      </x:c>
      <x:c r="C100" s="968" t="n">
        <x:f>B100*$K$90*(A100/1%)</x:f>
        <x:v>392072587.7130184</x:v>
      </x:c>
      <x:c r="D100" s="968" t="n">
        <x:f>B100*$L$90*(A100/1%)</x:f>
        <x:v>267804114.37805822</x:v>
      </x:c>
      <x:c r="E100" s="968" t="n">
        <x:f>B100*$M$90*(A100/1%)</x:f>
        <x:v>147452094.10880736</x:v>
      </x:c>
      <x:c r="F100" s="968" t="n">
        <x:f>B100*$K$91*(A100/1%)</x:f>
        <x:v>127897911.35616039</x:v>
      </x:c>
      <x:c r="G100" s="968" t="n">
        <x:f>B100*$L$91*(A100/1%)</x:f>
        <x:v>85468943.47475773</x:v>
      </x:c>
      <x:c r="H100" s="968" t="n">
        <x:f>B100*$M$91*(A100/1%)</x:f>
        <x:v>44830717.59328241</x:v>
      </x:c>
      <x:c r="I100" s="968" t="n">
        <x:f>$B$39*Assumptions!$E$148*Assumptions!$E$149*Assumptions!$E$48/(1+Assumptions!$E$53)^2</x:f>
        <x:v>1602843.3811791833</x:v>
      </x:c>
      <x:c r="J100" s="1052" t="n">
        <x:f>('Benefits &amp; BCR'!$C$24+'Cohort Bridge'!$D$30+C100)/'Stage 2 - National'!$K$48</x:f>
        <x:v>0.5102427135141467</x:v>
      </x:c>
      <x:c r="K100" s="1052" t="n">
        <x:f>('Benefits &amp; BCR'!$C$24+'Cohort Bridge'!$D$30+D100)/'Stage 2 - National'!$K$48</x:f>
        <x:v>0.42881593861251227</x:v>
      </x:c>
      <x:c r="L100" s="1052" t="n">
        <x:f>('Benefits &amp; BCR'!$C$24+'Cohort Bridge'!$D$30+E100)/'Stage 2 - National'!$K$48</x:f>
        <x:v>0.3499554150989892</x:v>
      </x:c>
      <x:c r="M100" s="1052" t="n">
        <x:f>('Benefits &amp; BCR'!$C$25+'Cohort Bridge'!$D$30+G100+I100)/('Stage 2 - National'!$K$48-'Delivery Scenarios'!$B$14)</x:f>
        <x:v>0.16713185558519256</x:v>
      </x:c>
      <x:c r="N100" s="1051" t="str">
        <x:v>Sensitivity only; the uplift is not a forecast.</x:v>
      </x:c>
      <x:c r="O100" s="1051" t="n">
        <x:f>('Benefits &amp; BCR'!$C$24+'Cohort Bridge'!$D$30+C100)/('Stage 2 - National'!$K$48-'Stage 2 - National'!$K$15)</x:f>
        <x:v>2.5091853551212324</x:v>
      </x:c>
      <x:c r="P100" s="1051" t="n">
        <x:f>('Benefits &amp; BCR'!$C$24+'Cohort Bridge'!$D$30+D100)/('Stage 2 - National'!$K$48-'Stage 2 - National'!$K$15)</x:f>
        <x:v>2.1087585274831158</x:v>
      </x:c>
      <x:c r="Q100" s="1051" t="n">
        <x:f>('Benefits &amp; BCR'!$C$24+'Cohort Bridge'!$D$30+E100)/('Stage 2 - National'!$K$48-'Stage 2 - National'!$K$15)</x:f>
        <x:v>1.7209515770721726</x:v>
      </x:c>
      <x:c r="R100" s="26" t="str">
        <x:v>Provisional methodology — Treasury confirmation required</x:v>
      </x:c>
      <x:c r="S100" s="26" t="str">
        <x:v>Affected-population uplift; see Earnings Uplift Bridge for cohort-equivalent measures.</x:v>
      </x:c>
    </x:row>
    <x:row r="101">
      <x:c r="A101" s="966" t="n">
        <x:v>0.03</x:v>
      </x:c>
      <x:c r="B101" s="967" t="n">
        <x:f>$B$41</x:f>
        <x:v>8583.853270349473</x:v>
      </x:c>
      <x:c r="C101" s="968" t="n">
        <x:f>B101*$K$90*(A101/1%)</x:f>
        <x:v>588108881.5695276</x:v>
      </x:c>
      <x:c r="D101" s="968" t="n">
        <x:f>B101*$L$90*(A101/1%)</x:f>
        <x:v>401706171.56708735</x:v>
      </x:c>
      <x:c r="E101" s="968" t="n">
        <x:f>B101*$M$90*(A101/1%)</x:f>
        <x:v>221178141.16321105</x:v>
      </x:c>
      <x:c r="F101" s="968" t="n">
        <x:f>B101*$K$91*(A101/1%)</x:f>
        <x:v>191846867.03424057</x:v>
      </x:c>
      <x:c r="G101" s="968" t="n">
        <x:f>B101*$L$91*(A101/1%)</x:f>
        <x:v>128203415.2121366</x:v>
      </x:c>
      <x:c r="H101" s="968" t="n">
        <x:f>B101*$M$91*(A101/1%)</x:f>
        <x:v>67246076.38992362</x:v>
      </x:c>
      <x:c r="I101" s="968" t="n">
        <x:f>$B$39*Assumptions!$E$148*Assumptions!$E$149*Assumptions!$E$48/(1+Assumptions!$E$53)^2</x:f>
        <x:v>1602843.3811791833</x:v>
      </x:c>
      <x:c r="J101" s="1052" t="n">
        <x:f>('Benefits &amp; BCR'!$C$24+'Cohort Bridge'!$D$30+C101)/'Stage 2 - National'!$K$48</x:f>
        <x:v>0.638695270659338</x:v>
      </x:c>
      <x:c r="K101" s="1052" t="n">
        <x:f>('Benefits &amp; BCR'!$C$24+'Cohort Bridge'!$D$30+D101)/'Stage 2 - National'!$K$48</x:f>
        <x:v>0.5165551083068862</x:v>
      </x:c>
      <x:c r="L101" s="1052" t="n">
        <x:f>('Benefits &amp; BCR'!$C$24+'Cohort Bridge'!$D$30+E101)/'Stage 2 - National'!$K$48</x:f>
        <x:v>0.39826432303660164</x:v>
      </x:c>
      <x:c r="M101" s="1052" t="n">
        <x:f>('Benefits &amp; BCR'!$C$25+'Cohort Bridge'!$D$30+G101+I101)/('Stage 2 - National'!$K$48-'Delivery Scenarios'!$B$14)</x:f>
        <x:v>0.19513356927262435</x:v>
      </x:c>
      <x:c r="N101" s="1051" t="str">
        <x:v>Sensitivity only; the uplift is not a forecast.</x:v>
      </x:c>
      <x:c r="O101" s="1051" t="n">
        <x:f>('Benefits &amp; BCR'!$C$24+'Cohort Bridge'!$D$30+C101)/('Stage 2 - National'!$K$48-'Stage 2 - National'!$K$15)</x:f>
        <x:v>3.14086762451958</x:v>
      </x:c>
      <x:c r="P101" s="1051" t="n">
        <x:f>('Benefits &amp; BCR'!$C$24+'Cohort Bridge'!$D$30+D101)/('Stage 2 - National'!$K$48-'Stage 2 - National'!$K$15)</x:f>
        <x:v>2.5402273830624043</x:v>
      </x:c>
      <x:c r="Q101" s="1051" t="n">
        <x:f>('Benefits &amp; BCR'!$C$24+'Cohort Bridge'!$D$30+E101)/('Stage 2 - National'!$K$48-'Stage 2 - National'!$K$15)</x:f>
        <x:v>1.95851695744599</x:v>
      </x:c>
      <x:c r="R101" s="26" t="str">
        <x:v>Provisional methodology — Treasury confirmation required</x:v>
      </x:c>
      <x:c r="S101" s="26" t="str">
        <x:v>Affected-population uplift; see Earnings Uplift Bridge for cohort-equivalent measures.</x:v>
      </x:c>
    </x:row>
    <x:row r="102">
      <x:c r="A102" s="970" t="n">
        <x:v>0.05</x:v>
      </x:c>
      <x:c r="B102" s="971" t="n">
        <x:f>$B$41</x:f>
        <x:v>8583.853270349473</x:v>
      </x:c>
      <x:c r="C102" s="972" t="n">
        <x:f>B102*$K$90*(A102/1%)</x:f>
        <x:v>980181469.282546</x:v>
      </x:c>
      <x:c r="D102" s="972" t="n">
        <x:f>B102*$L$90*(A102/1%)</x:f>
        <x:v>669510285.9451456</x:v>
      </x:c>
      <x:c r="E102" s="972" t="n">
        <x:f>B102*$M$90*(A102/1%)</x:f>
        <x:v>368630235.2720184</x:v>
      </x:c>
      <x:c r="F102" s="972" t="n">
        <x:f>B102*$K$91*(A102/1%)</x:f>
        <x:v>319744778.39040095</x:v>
      </x:c>
      <x:c r="G102" s="972" t="n">
        <x:f>B102*$L$91*(A102/1%)</x:f>
        <x:v>213672358.68689433</x:v>
      </x:c>
      <x:c r="H102" s="972" t="n">
        <x:f>B102*$M$91*(A102/1%)</x:f>
        <x:v>112076793.98320602</x:v>
      </x:c>
      <x:c r="I102" s="972" t="n">
        <x:f>$B$39*Assumptions!$E$148*Assumptions!$E$149*Assumptions!$E$48/(1+Assumptions!$E$53)^2</x:f>
        <x:v>1602843.3811791833</x:v>
      </x:c>
      <x:c r="J102" s="1053" t="n">
        <x:f>('Benefits &amp; BCR'!$C$24+'Cohort Bridge'!$D$30+C102)/'Stage 2 - National'!$K$48</x:f>
        <x:v>0.8956003849497204</x:v>
      </x:c>
      <x:c r="K102" s="1053" t="n">
        <x:f>('Benefits &amp; BCR'!$C$24+'Cohort Bridge'!$D$30+D102)/'Stage 2 - National'!$K$48</x:f>
        <x:v>0.6920334476956341</x:v>
      </x:c>
      <x:c r="L102" s="1053" t="n">
        <x:f>('Benefits &amp; BCR'!$C$24+'Cohort Bridge'!$D$30+E102)/'Stage 2 - National'!$K$48</x:f>
        <x:v>0.49488213891182653</x:v>
      </x:c>
      <x:c r="M102" s="1053" t="n">
        <x:f>('Benefits &amp; BCR'!$C$25+'Cohort Bridge'!$D$30+G102+I102)/('Stage 2 - National'!$K$48-'Delivery Scenarios'!$B$14)</x:f>
        <x:v>0.2511369966474879</x:v>
      </x:c>
      <x:c r="N102" s="1054" t="str">
        <x:v>Sensitivity only; the uplift is not a forecast.</x:v>
      </x:c>
      <x:c r="O102" s="1051" t="n">
        <x:f>('Benefits &amp; BCR'!$C$24+'Cohort Bridge'!$D$30+C102)/('Stage 2 - National'!$K$48-'Stage 2 - National'!$K$15)</x:f>
        <x:v>4.404232163316275</x:v>
      </x:c>
      <x:c r="P102" s="1051" t="n">
        <x:f>('Benefits &amp; BCR'!$C$24+'Cohort Bridge'!$D$30+D102)/('Stage 2 - National'!$K$48-'Stage 2 - National'!$K$15)</x:f>
        <x:v>3.403165094220982</x:v>
      </x:c>
      <x:c r="Q102" s="1051" t="n">
        <x:f>('Benefits &amp; BCR'!$C$24+'Cohort Bridge'!$D$30+E102)/('Stage 2 - National'!$K$48-'Stage 2 - National'!$K$15)</x:f>
        <x:v>2.4336477181936247</x:v>
      </x:c>
      <x:c r="R102" s="26" t="str">
        <x:v>Provisional methodology — Treasury confirmation required</x:v>
      </x:c>
      <x:c r="S102" s="26" t="str">
        <x:v>Affected-population uplift; see Earnings Uplift Bridge for cohort-equivalent measures.</x:v>
      </x:c>
    </x:row>
    <x:row r="103" ht="28" customHeight="1">
      <x:c r="A103" s="1312"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103" s="1312"/>
      <x:c r="C103" s="1312"/>
      <x:c r="D103" s="1312"/>
      <x:c r="E103" s="1312"/>
      <x:c r="F103" s="1312"/>
      <x:c r="G103" s="1312"/>
      <x:c r="H103" s="1312"/>
      <x:c r="I103" s="1312"/>
      <x:c r="J103" s="1312"/>
      <x:c r="K103" s="1312"/>
      <x:c r="L103" s="1312"/>
      <x:c r="M103" s="1312"/>
      <x:c r="N103" s="1312"/>
      <x:c r="O103" s="1312"/>
      <x:c r="P103" s="1312"/>
      <x:c r="Q103" s="1312"/>
      <x:c r="R103" s="1312"/>
      <x:c r="S103" s="1312"/>
    </x:row>
    <x:row r="104" ht="28" customHeight="1">
      <x:c r="A104" s="1312"/>
      <x:c r="B104" s="1312"/>
      <x:c r="C104" s="1312"/>
      <x:c r="D104" s="1312"/>
      <x:c r="E104" s="1312"/>
      <x:c r="F104" s="1312"/>
      <x:c r="G104" s="1312"/>
      <x:c r="H104" s="1312"/>
      <x:c r="I104" s="1312"/>
      <x:c r="J104" s="1312"/>
      <x:c r="K104" s="1312"/>
      <x:c r="L104" s="1312"/>
      <x:c r="M104" s="1312"/>
      <x:c r="N104" s="1312"/>
      <x:c r="O104" s="1312"/>
      <x:c r="P104" s="1312"/>
      <x:c r="Q104" s="1312"/>
      <x:c r="R104" s="1312"/>
      <x:c r="S104" s="1312"/>
    </x:row>
    <x:row r="105" ht="23" customHeight="1">
      <x:c r="A105" s="905" t="str">
        <x:v>Social and Crown break-even earnings uplifts</x:v>
      </x:c>
      <x:c r="B105" s="905"/>
      <x:c r="C105" s="905"/>
      <x:c r="D105" s="905"/>
      <x:c r="E105" s="905"/>
      <x:c r="F105" s="905"/>
      <x:c r="G105" s="905"/>
      <x:c r="H105" s="905"/>
      <x:c r="I105" s="905"/>
      <x:c r="J105" s="905"/>
      <x:c r="K105" s="905"/>
      <x:c r="L105" s="905"/>
      <x:c r="M105" s="905"/>
      <x:c r="N105" s="905"/>
      <x:c r="O105" s="905"/>
      <x:c r="P105" s="905"/>
      <x:c r="Q105" s="905"/>
      <x:c r="R105" s="905"/>
      <x:c r="S105" s="905"/>
    </x:row>
    <x:row r="106" ht="30" customHeight="1">
      <x:c r="A106" s="909" t="str">
        <x:v>Delivery scenario</x:v>
      </x:c>
      <x:c r="B106" s="909" t="str">
        <x:v>Discount rate</x:v>
      </x:c>
      <x:c r="C106" s="909" t="str">
        <x:v>Cost / Crown cash cost</x:v>
      </x:c>
      <x:c r="D106" s="909" t="str">
        <x:v>Base social benefit</x:v>
      </x:c>
      <x:c r="E106" s="909" t="str">
        <x:v>Base Crown benefit</x:v>
      </x:c>
      <x:c r="F106" s="909" t="str">
        <x:v>Effective employed participants</x:v>
      </x:c>
      <x:c r="G106" s="909" t="str">
        <x:v>Earnings PV per 1%</x:v>
      </x:c>
      <x:c r="H106" s="909" t="str">
        <x:v>Tax + ACC PV per 1%</x:v>
      </x:c>
      <x:c r="I106" s="909" t="str">
        <x:v>Benefit-savings PV</x:v>
      </x:c>
      <x:c r="J106" s="909" t="str">
        <x:v>Social break-even uplift</x:v>
      </x:c>
      <x:c r="K106" s="909" t="str">
        <x:v>Crown fiscal break-even uplift</x:v>
      </x:c>
      <x:c r="L106" s="909" t="str">
        <x:v>Combined social break-even</x:v>
      </x:c>
      <x:c r="M106" s="909" t="str">
        <x:v>Combined Crown break-even</x:v>
      </x:c>
      <x:c r="N106" s="909" t="str">
        <x:v>Committed funding</x:v>
      </x:c>
      <x:c r="O106" s="909" t="str">
        <x:v>Result at 5% uplift</x:v>
      </x:c>
      <x:c r="P106" s="909" t="str">
        <x:v>Interpretation</x:v>
      </x:c>
      <x:c r="Q106" s="26"/>
      <x:c r="R106" s="26"/>
      <x:c r="S106" s="26"/>
    </x:row>
    <x:row r="107">
      <x:c r="A107" s="26" t="str">
        <x:v>Universal core only</x:v>
      </x:c>
      <x:c r="B107" s="185" t="n">
        <x:v>0.02</x:v>
      </x:c>
      <x:c r="C107" s="968" t="n">
        <x:f>'Delivery Scenarios'!$G$20</x:f>
        <x:v>825136870.3583333</x:v>
      </x:c>
      <x:c r="D107" s="968" t="n">
        <x:f>'Benefits &amp; BCR'!$C$24*'Delivery Scenarios'!$I$20+'Cohort Bridge'!$D$30*0.5</x:f>
        <x:v>193314034.1853897</x:v>
      </x:c>
      <x:c r="E107" s="968" t="n">
        <x:f>'Benefits &amp; BCR'!$C$25*'Delivery Scenarios'!$I$20+'Cohort Bridge'!$D$30*0.5</x:f>
        <x:v>83997221.84216624</x:v>
      </x:c>
      <x:c r="F107" s="968" t="n">
        <x:f>('Delivery Scenarios'!$C$20-'Benefits &amp; BCR'!$C$18*'Delivery Scenarios'!$I$20)*'Delivery Scenarios'!$J$20*Assumptions!$E$141*Assumptions!$E$142*Assumptions!$E$143*(1-Assumptions!$E$144)*(1-Assumptions!$E$145)*(1-Assumptions!$E$146)*Assumptions!$E$137</x:f>
        <x:v>7814.379978467764</x:v>
      </x:c>
      <x:c r="G107" s="968" t="n">
        <x:f>F107*$K$90</x:f>
        <x:v>178463219.43279916</x:v>
      </x:c>
      <x:c r="H107" s="968" t="n">
        <x:f>F107*$K$91</x:f>
        <x:v>58216446.9913367</x:v>
      </x:c>
      <x:c r="I107" s="968" t="n">
        <x:f>MAX(0,F107/Assumptions!$E$137)*Assumptions!$E$148*Assumptions!$E$149*Assumptions!$E$48/(1+B107)^2</x:f>
        <x:v>1516944.4002347072</x:v>
      </x:c>
      <x:c r="J107" s="974" t="n">
        <x:f>MAX(0,(C107-D107)/G107)*1%</x:f>
        <x:v>0.03540353234582649</x:v>
      </x:c>
      <x:c r="K107" s="974" t="n">
        <x:f>MAX(0,(C107-'Delivery Scenarios'!$K$20-E107-I107)/H107)*1%</x:f>
        <x:v>0.1270470360765914</x:v>
      </x:c>
      <x:c r="L107" s="974" t="n">
        <x:f>MAX(0,(C107-D107-='Justice Sensitivity'!$G$7*'Delivery Scenarios'!$I$20)/G107)*1%</x:f>
        <x:v>0.03532046453648535</x:v>
      </x:c>
      <x:c r="M107" s="974" t="n">
        <x:f>MAX(0,(C107-'Delivery Scenarios'!$K$20-E107-I107)/H107)*1%</x:f>
        <x:v>0.1270470360765914</x:v>
      </x:c>
      <x:c r="N107" s="968" t="n">
        <x:f>'Delivery Scenarios'!$K$20</x:f>
        <x:v>0</x:v>
      </x:c>
      <x:c r="O107" s="969" t="n">
        <x:f>(D107+G107*5)/C107</x:f>
        <x:v>1.3156970320304888</x:v>
      </x:c>
      <x:c r="P107" s="26" t="str">
        <x:v>Social return may cross 1.0x before Crown fiscal coverage reaches 1.0x.</x:v>
      </x:c>
      <x:c r="Q107" s="26"/>
      <x:c r="R107" s="26"/>
      <x:c r="S107" s="26"/>
    </x:row>
    <x:row r="108">
      <x:c r="A108" s="911" t="str">
        <x:v>Universal core only</x:v>
      </x:c>
      <x:c r="B108" s="975" t="n">
        <x:v>0.04</x:v>
      </x:c>
      <x:c r="C108" s="972" t="n">
        <x:f>'Delivery Scenarios'!$G$20</x:f>
        <x:v>825136870.3583333</x:v>
      </x:c>
      <x:c r="D108" s="972" t="n">
        <x:f>'Benefits &amp; BCR'!$C$24*'Delivery Scenarios'!$I$20+'Cohort Bridge'!$D$30*0.5</x:f>
        <x:v>193314034.1853897</x:v>
      </x:c>
      <x:c r="E108" s="972" t="n">
        <x:f>'Benefits &amp; BCR'!$C$25*'Delivery Scenarios'!$I$20+'Cohort Bridge'!$D$30*0.5</x:f>
        <x:v>83997221.84216624</x:v>
      </x:c>
      <x:c r="F108" s="972" t="n">
        <x:f>('Delivery Scenarios'!$C$20-'Benefits &amp; BCR'!$C$18*'Delivery Scenarios'!$I$20)*'Delivery Scenarios'!$J$20*Assumptions!$E$141*Assumptions!$E$142*Assumptions!$E$143*(1-Assumptions!$E$144)*(1-Assumptions!$E$145)*(1-Assumptions!$E$146)*Assumptions!$E$137</x:f>
        <x:v>7814.379978467764</x:v>
      </x:c>
      <x:c r="G108" s="972" t="n">
        <x:f>F108*$L$90</x:f>
        <x:v>121898816.51262128</x:v>
      </x:c>
      <x:c r="H108" s="972" t="n">
        <x:f>F108*$L$91</x:f>
        <x:v>38903670.62639389</x:v>
      </x:c>
      <x:c r="I108" s="972" t="n">
        <x:f>MAX(0,F108/Assumptions!$E$137)*Assumptions!$E$148*Assumptions!$E$149*Assumptions!$E$48/(1+B108)^2</x:f>
        <x:v>1459161.38498908</x:v>
      </x:c>
      <x:c r="J108" s="976" t="n">
        <x:f>MAX(0,(C108-D108)/G108)*1%</x:f>
        <x:v>0.05183174490521204</x:v>
      </x:c>
      <x:c r="K108" s="976" t="n">
        <x:f>MAX(0,(C108-'Delivery Scenarios'!$K$20-E108-I108)/H108)*1%</x:f>
        <x:v>0.19013128458612533</x:v>
      </x:c>
      <x:c r="L108" s="976" t="n">
        <x:f>MAX(0,(C108-D108-='Justice Sensitivity'!$G$7*'Delivery Scenarios'!$I$20)/G108)*1%</x:f>
        <x:v>0.05171013134808029</x:v>
      </x:c>
      <x:c r="M108" s="976" t="n">
        <x:f>MAX(0,(C108-'Delivery Scenarios'!$K$20-E108-I108)/H108)*1%</x:f>
        <x:v>0.19013128458612533</x:v>
      </x:c>
      <x:c r="N108" s="972" t="n">
        <x:f>'Delivery Scenarios'!$K$20</x:f>
        <x:v>0</x:v>
      </x:c>
      <x:c r="O108" s="973" t="n">
        <x:f>(D108+G108*5)/C108</x:f>
        <x:v>0.9729393335676049</x:v>
      </x:c>
      <x:c r="P108" s="911" t="str">
        <x:v>Social return may cross 1.0x before Crown fiscal coverage reaches 1.0x.</x:v>
      </x:c>
      <x:c r="Q108" s="26"/>
      <x:c r="R108" s="26"/>
      <x:c r="S108" s="26"/>
    </x:row>
    <x:row r="109">
      <x:c r="A109" s="26" t="str">
        <x:v>Universal core only</x:v>
      </x:c>
      <x:c r="B109" s="185" t="n">
        <x:v>0.08</x:v>
      </x:c>
      <x:c r="C109" s="968" t="n">
        <x:f>'Delivery Scenarios'!$G$20</x:f>
        <x:v>825136870.3583333</x:v>
      </x:c>
      <x:c r="D109" s="968" t="n">
        <x:f>'Benefits &amp; BCR'!$C$24*'Delivery Scenarios'!$I$20+'Cohort Bridge'!$D$30*0.5</x:f>
        <x:v>193314034.1853897</x:v>
      </x:c>
      <x:c r="E109" s="968" t="n">
        <x:f>'Benefits &amp; BCR'!$C$25*'Delivery Scenarios'!$I$20+'Cohort Bridge'!$D$30*0.5</x:f>
        <x:v>83997221.84216624</x:v>
      </x:c>
      <x:c r="F109" s="968" t="n">
        <x:f>('Delivery Scenarios'!$C$20-'Benefits &amp; BCR'!$C$18*'Delivery Scenarios'!$I$20)*'Delivery Scenarios'!$J$20*Assumptions!$E$141*Assumptions!$E$142*Assumptions!$E$143*(1-Assumptions!$E$144)*(1-Assumptions!$E$145)*(1-Assumptions!$E$146)*Assumptions!$E$137</x:f>
        <x:v>7814.379978467764</x:v>
      </x:c>
      <x:c r="G109" s="968" t="n">
        <x:f>F109*$M$90</x:f>
        <x:v>67117100.89262147</x:v>
      </x:c>
      <x:c r="H109" s="968" t="n">
        <x:f>F109*$M$91</x:f>
        <x:v>20406002.46461493</x:v>
      </x:c>
      <x:c r="I109" s="968" t="n">
        <x:f>MAX(0,F109/Assumptions!$E$137)*Assumptions!$E$148*Assumptions!$E$149*Assumptions!$E$48/(1+B109)^2</x:f>
        <x:v>1353076.9495920688</x:v>
      </x:c>
      <x:c r="J109" s="974" t="n">
        <x:f>MAX(0,(C109-D109)/G109)*1%</x:f>
        <x:v>0.09413738492426499</x:v>
      </x:c>
      <x:c r="K109" s="974" t="n">
        <x:f>MAX(0,(C109-'Delivery Scenarios'!$K$20-E109-I109)/H109)*1%</x:f>
        <x:v>0.3625338048691327</x:v>
      </x:c>
      <x:c r="L109" s="974" t="n">
        <x:f>MAX(0,(C109-D109-='Justice Sensitivity'!$G$7*'Delivery Scenarios'!$I$20)/G109)*1%</x:f>
        <x:v>0.09391650904480814</x:v>
      </x:c>
      <x:c r="M109" s="974" t="n">
        <x:f>MAX(0,(C109-'Delivery Scenarios'!$K$20-E109-I109)/H109)*1%</x:f>
        <x:v>0.3625338048691327</x:v>
      </x:c>
      <x:c r="N109" s="968" t="n">
        <x:f>'Delivery Scenarios'!$K$20</x:f>
        <x:v>0</x:v>
      </x:c>
      <x:c r="O109" s="969" t="n">
        <x:f>(D109+G109*5)/C109</x:f>
        <x:v>0.640984008409188</x:v>
      </x:c>
      <x:c r="P109" s="26" t="str">
        <x:v>Social return may cross 1.0x before Crown fiscal coverage reaches 1.0x.</x:v>
      </x:c>
      <x:c r="Q109" s="26"/>
      <x:c r="R109" s="26"/>
      <x:c r="S109" s="26"/>
    </x:row>
    <x:row r="110">
      <x:c r="A110" s="26" t="str">
        <x:v>Universal core plus targeted accelerator</x:v>
      </x:c>
      <x:c r="B110" s="185" t="n">
        <x:v>0.02</x:v>
      </x:c>
      <x:c r="C110" s="968" t="n">
        <x:f>'Delivery Scenarios'!$G$21</x:f>
        <x:v>875015750.3583333</x:v>
      </x:c>
      <x:c r="D110" s="968" t="n">
        <x:f>'Benefits &amp; BCR'!$C$24*'Delivery Scenarios'!$I$21+'Cohort Bridge'!$D$30*0.75</x:f>
        <x:v>385171144.08262974</x:v>
      </x:c>
      <x:c r="E110" s="968" t="n">
        <x:f>'Benefits &amp; BCR'!$C$25*'Delivery Scenarios'!$I$21+'Cohort Bridge'!$D$30*0.75</x:f>
        <x:v>166537519.39618286</x:v>
      </x:c>
      <x:c r="F110" s="968" t="n">
        <x:f>('Delivery Scenarios'!$C$21-'Benefits &amp; BCR'!$C$18*'Delivery Scenarios'!$I$21)*'Delivery Scenarios'!$J$21*Assumptions!$E$141*Assumptions!$E$142*Assumptions!$E$143*(1-Assumptions!$E$144)*(1-Assumptions!$E$145)*(1-Assumptions!$E$146)*Assumptions!$E$137</x:f>
        <x:v>9442.238597384423</x:v>
      </x:c>
      <x:c r="G110" s="968" t="n">
        <x:f>F110*$K$90</x:f>
        <x:v>215639923.2421602</x:v>
      </x:c>
      <x:c r="H110" s="968" t="n">
        <x:f>F110*$K$91</x:f>
        <x:v>70343851.24588823</x:v>
      </x:c>
      <x:c r="I110" s="968" t="n">
        <x:f>MAX(0,F110/Assumptions!$E$137)*Assumptions!$E$148*Assumptions!$E$149*Assumptions!$E$48/(1+B110)^2</x:f>
        <x:v>1832947.848127399</x:v>
      </x:c>
      <x:c r="J110" s="974" t="n">
        <x:f>MAX(0,(C110-D110)/G110)*1%</x:f>
        <x:v>0.022715858868379204</x:v>
      </x:c>
      <x:c r="K110" s="974" t="n">
        <x:f>MAX(0,(C110-'Delivery Scenarios'!$K$21-E110-I110)/H110)*1%</x:f>
        <x:v>0.10045587078306695</x:v>
      </x:c>
      <x:c r="L110" s="974" t="n">
        <x:f>MAX(0,(C110-D110-='Justice Sensitivity'!$G$7*'Delivery Scenarios'!$I$21)/G110)*1%</x:f>
        <x:v>0.022578365323924526</x:v>
      </x:c>
      <x:c r="M110" s="974" t="n">
        <x:f>MAX(0,(C110-'Delivery Scenarios'!$K$21-E110-I110)/H110)*1%</x:f>
        <x:v>0.10045587078306695</x:v>
      </x:c>
      <x:c r="N110" s="968" t="n">
        <x:f>'Delivery Scenarios'!$K$21</x:f>
        <x:v>0</x:v>
      </x:c>
      <x:c r="O110" s="969" t="n">
        <x:f>(D110+G110*5)/C110</x:f>
        <x:v>1.6723936222795492</x:v>
      </x:c>
      <x:c r="P110" s="26" t="str">
        <x:v>Social return may cross 1.0x before Crown fiscal coverage reaches 1.0x.</x:v>
      </x:c>
      <x:c r="Q110" s="26"/>
      <x:c r="R110" s="26"/>
      <x:c r="S110" s="26"/>
    </x:row>
    <x:row r="111">
      <x:c r="A111" s="911" t="str">
        <x:v>Universal core plus targeted accelerator</x:v>
      </x:c>
      <x:c r="B111" s="975" t="n">
        <x:v>0.04</x:v>
      </x:c>
      <x:c r="C111" s="972" t="n">
        <x:f>'Delivery Scenarios'!$G$21</x:f>
        <x:v>875015750.3583333</x:v>
      </x:c>
      <x:c r="D111" s="972" t="n">
        <x:f>'Benefits &amp; BCR'!$C$24*'Delivery Scenarios'!$I$21+'Cohort Bridge'!$D$30*0.75</x:f>
        <x:v>385171144.08262974</x:v>
      </x:c>
      <x:c r="E111" s="972" t="n">
        <x:f>'Benefits &amp; BCR'!$C$25*'Delivery Scenarios'!$I$21+'Cohort Bridge'!$D$30*0.75</x:f>
        <x:v>166537519.39618286</x:v>
      </x:c>
      <x:c r="F111" s="972" t="n">
        <x:f>('Delivery Scenarios'!$C$21-'Benefits &amp; BCR'!$C$18*'Delivery Scenarios'!$I$21)*'Delivery Scenarios'!$J$21*Assumptions!$E$141*Assumptions!$E$142*Assumptions!$E$143*(1-Assumptions!$E$144)*(1-Assumptions!$E$145)*(1-Assumptions!$E$146)*Assumptions!$E$137</x:f>
        <x:v>9442.238597384423</x:v>
      </x:c>
      <x:c r="G111" s="972" t="n">
        <x:f>F111*$L$90</x:f>
        <x:v>147292262.90793207</x:v>
      </x:c>
      <x:c r="H111" s="972" t="n">
        <x:f>F111*$L$91</x:f>
        <x:v>47007918.91111677</x:v>
      </x:c>
      <x:c r="I111" s="972" t="n">
        <x:f>MAX(0,F111/Assumptions!$E$137)*Assumptions!$E$148*Assumptions!$E$149*Assumptions!$E$48/(1+B111)^2</x:f>
        <x:v>1763127.7192971022</x:v>
      </x:c>
      <x:c r="J111" s="976" t="n">
        <x:f>MAX(0,(C111-D111)/G111)*1%</x:f>
        <x:v>0.033256642039771675</x:v>
      </x:c>
      <x:c r="K111" s="976" t="n">
        <x:f>MAX(0,(C111-'Delivery Scenarios'!$K$21-E111-I111)/H111)*1%</x:f>
        <x:v>0.15033958524714106</x:v>
      </x:c>
      <x:c r="L111" s="976" t="n">
        <x:f>MAX(0,(C111-D111-='Justice Sensitivity'!$G$7*'Delivery Scenarios'!$I$21)/G111)*1%</x:f>
        <x:v>0.033055347709797046</x:v>
      </x:c>
      <x:c r="M111" s="976" t="n">
        <x:f>MAX(0,(C111-'Delivery Scenarios'!$K$21-E111-I111)/H111)*1%</x:f>
        <x:v>0.15033958524714106</x:v>
      </x:c>
      <x:c r="N111" s="972" t="n">
        <x:f>'Delivery Scenarios'!$K$21</x:f>
        <x:v>0</x:v>
      </x:c>
      <x:c r="O111" s="973" t="n">
        <x:f>(D111+G111*5)/C111</x:f>
        <x:v>1.2818425933052784</x:v>
      </x:c>
      <x:c r="P111" s="911" t="str">
        <x:v>Social return may cross 1.0x before Crown fiscal coverage reaches 1.0x.</x:v>
      </x:c>
      <x:c r="Q111" s="26"/>
      <x:c r="R111" s="26"/>
      <x:c r="S111" s="26"/>
    </x:row>
    <x:row r="112">
      <x:c r="A112" s="26" t="str">
        <x:v>Universal core plus targeted accelerator</x:v>
      </x:c>
      <x:c r="B112" s="185" t="n">
        <x:v>0.08</x:v>
      </x:c>
      <x:c r="C112" s="968" t="n">
        <x:f>'Delivery Scenarios'!$G$21</x:f>
        <x:v>875015750.3583333</x:v>
      </x:c>
      <x:c r="D112" s="968" t="n">
        <x:f>'Benefits &amp; BCR'!$C$24*'Delivery Scenarios'!$I$21+'Cohort Bridge'!$D$30*0.75</x:f>
        <x:v>385171144.08262974</x:v>
      </x:c>
      <x:c r="E112" s="968" t="n">
        <x:f>'Benefits &amp; BCR'!$C$25*'Delivery Scenarios'!$I$21+'Cohort Bridge'!$D$30*0.75</x:f>
        <x:v>166537519.39618286</x:v>
      </x:c>
      <x:c r="F112" s="968" t="n">
        <x:f>('Delivery Scenarios'!$C$21-'Benefits &amp; BCR'!$C$18*'Delivery Scenarios'!$I$21)*'Delivery Scenarios'!$J$21*Assumptions!$E$141*Assumptions!$E$142*Assumptions!$E$143*(1-Assumptions!$E$144)*(1-Assumptions!$E$145)*(1-Assumptions!$E$146)*Assumptions!$E$137</x:f>
        <x:v>9442.238597384423</x:v>
      </x:c>
      <x:c r="G112" s="968" t="n">
        <x:f>F112*$M$90</x:f>
        <x:v>81098651.75984406</x:v>
      </x:c>
      <x:c r="H112" s="968" t="n">
        <x:f>F112*$M$91</x:f>
        <x:v>24656894.67630533</x:v>
      </x:c>
      <x:c r="I112" s="968" t="n">
        <x:f>MAX(0,F112/Assumptions!$E$137)*Assumptions!$E$148*Assumptions!$E$149*Assumptions!$E$48/(1+B112)^2</x:f>
        <x:v>1634944.2225580812</x:v>
      </x:c>
      <x:c r="J112" s="974" t="n">
        <x:f>MAX(0,(C112-D112)/G112)*1%</x:f>
        <x:v>0.06040107888923621</x:v>
      </x:c>
      <x:c r="K112" s="974" t="n">
        <x:f>MAX(0,(C112-'Delivery Scenarios'!$K$21-E112-I112)/H112)*1%</x:f>
        <x:v>0.2866716575704285</x:v>
      </x:c>
      <x:c r="L112" s="974" t="n">
        <x:f>MAX(0,(C112-D112-='Justice Sensitivity'!$G$7*'Delivery Scenarios'!$I$21)/G112)*1%</x:f>
        <x:v>0.0600354859141483</x:v>
      </x:c>
      <x:c r="M112" s="974" t="n">
        <x:f>MAX(0,(C112-'Delivery Scenarios'!$K$21-E112-I112)/H112)*1%</x:f>
        <x:v>0.2866716575704285</x:v>
      </x:c>
      <x:c r="N112" s="968" t="n">
        <x:f>'Delivery Scenarios'!$K$21</x:f>
        <x:v>0</x:v>
      </x:c>
      <x:c r="O112" s="969" t="n">
        <x:f>(D112+G112*5)/C112</x:f>
        <x:v>0.9036001952628394</x:v>
      </x:c>
      <x:c r="P112" s="26" t="str">
        <x:v>Social return may cross 1.0x before Crown fiscal coverage reaches 1.0x.</x:v>
      </x:c>
      <x:c r="Q112" s="26"/>
      <x:c r="R112" s="26"/>
      <x:c r="S112" s="26"/>
    </x:row>
    <x:row r="113">
      <x:c r="A113" s="26" t="str">
        <x:v>Targeted pilot</x:v>
      </x:c>
      <x:c r="B113" s="185" t="n">
        <x:v>0.02</x:v>
      </x:c>
      <x:c r="C113" s="968" t="n">
        <x:f>'Delivery Scenarios'!$G$22</x:f>
        <x:v>97579970.263125</x:v>
      </x:c>
      <x:c r="D113" s="968" t="n">
        <x:f>'Benefits &amp; BCR'!$B$24+'Benefits &amp; BCR'!$B$64</x:f>
        <x:v>42493412.4724618</x:v>
      </x:c>
      <x:c r="E113" s="968" t="n">
        <x:f>'Benefits &amp; BCR'!$B$25+'Benefits &amp; BCR'!$B$64</x:f>
        <x:v>17946985.242257297</x:v>
      </x:c>
      <x:c r="F113" s="968" t="n">
        <x:f>(Assumptions!$E$17-'Benefits &amp; BCR'!$B$18)*'Delivery Scenarios'!$J$22*Assumptions!$E$141*Assumptions!$E$142*Assumptions!$E$143*(1-Assumptions!$E$144)*(1-Assumptions!$E$145)*(1-Assumptions!$E$146)*Assumptions!$E$137</x:f>
        <x:v>683.23497165</x:v>
      </x:c>
      <x:c r="G113" s="968" t="n">
        <x:f>F113*$K$90</x:f>
        <x:v>15603581.218947155</x:v>
      </x:c>
      <x:c r="H113" s="968" t="n">
        <x:f>F113*$K$91</x:f>
        <x:v>5090040.747863506</x:v>
      </x:c>
      <x:c r="I113" s="968" t="n">
        <x:f>MAX(0,F113/Assumptions!$E$137)*Assumptions!$E$148*Assumptions!$E$149*Assumptions!$E$48/(1+B113)^2</x:f>
        <x:v>132631.05545735298</x:v>
      </x:c>
      <x:c r="J113" s="974" t="n">
        <x:f>MAX(0,(C113-D113)/G113)*1%</x:f>
        <x:v>0.03530379149356595</x:v>
      </x:c>
      <x:c r="K113" s="974" t="n">
        <x:f>MAX(0,(C113-'Delivery Scenarios'!$K$22-E113-I113)/H113)*1%</x:f>
        <x:v>0.15618805016203424</x:v>
      </x:c>
      <x:c r="L113" s="974" t="n">
        <x:f>MAX(0,(C113-D113-'Justice Sensitivity'!$G$7*'Benefits &amp; BCR'!$B$18/'Benefits &amp; BCR'!$C$18)/G113)*1%</x:f>
        <x:v>0.035090458255939844</x:v>
      </x:c>
      <x:c r="M113" s="974" t="n">
        <x:f>MAX(0,(C113-'Delivery Scenarios'!$K$22-E113-I113)/H113)*1%</x:f>
        <x:v>0.15618805016203424</x:v>
      </x:c>
      <x:c r="N113" s="968" t="n">
        <x:f>'Delivery Scenarios'!$K$22</x:f>
        <x:v>0</x:v>
      </x:c>
      <x:c r="O113" s="969" t="n">
        <x:f>(D113+G113*5)/C113</x:f>
        <x:v>1.2350005666351203</x:v>
      </x:c>
      <x:c r="P113" s="26" t="str">
        <x:v>Social return may cross 1.0x before Crown fiscal coverage reaches 1.0x.</x:v>
      </x:c>
      <x:c r="Q113" s="26"/>
      <x:c r="R113" s="26"/>
      <x:c r="S113" s="26"/>
    </x:row>
    <x:row r="114">
      <x:c r="A114" s="911" t="str">
        <x:v>Targeted pilot</x:v>
      </x:c>
      <x:c r="B114" s="975" t="n">
        <x:v>0.04</x:v>
      </x:c>
      <x:c r="C114" s="972" t="n">
        <x:f>'Delivery Scenarios'!$G$22</x:f>
        <x:v>97579970.263125</x:v>
      </x:c>
      <x:c r="D114" s="972" t="n">
        <x:f>'Benefits &amp; BCR'!$B$24+'Benefits &amp; BCR'!$B$64</x:f>
        <x:v>42493412.4724618</x:v>
      </x:c>
      <x:c r="E114" s="972" t="n">
        <x:f>'Benefits &amp; BCR'!$B$25+'Benefits &amp; BCR'!$B$64</x:f>
        <x:v>17946985.242257297</x:v>
      </x:c>
      <x:c r="F114" s="972" t="n">
        <x:f>(Assumptions!$E$17-'Benefits &amp; BCR'!$B$18)*'Delivery Scenarios'!$J$22*Assumptions!$E$141*Assumptions!$E$142*Assumptions!$E$143*(1-Assumptions!$E$144)*(1-Assumptions!$E$145)*(1-Assumptions!$E$146)*Assumptions!$E$137</x:f>
        <x:v>683.23497165</x:v>
      </x:c>
      <x:c r="G114" s="972" t="n">
        <x:f>F114*$L$90</x:f>
        <x:v>10657983.70103061</x:v>
      </x:c>
      <x:c r="H114" s="972" t="n">
        <x:f>F114*$L$91</x:f>
        <x:v>3401466.0626622126</x:v>
      </x:c>
      <x:c r="I114" s="972" t="n">
        <x:f>MAX(0,F114/Assumptions!$E$137)*Assumptions!$E$148*Assumptions!$E$149*Assumptions!$E$48/(1+B114)^2</x:f>
        <x:v>127578.91096323042</x:v>
      </x:c>
      <x:c r="J114" s="976" t="n">
        <x:f>MAX(0,(C114-D114)/G114)*1%</x:f>
        <x:v>0.05168572155475939</x:v>
      </x:c>
      <x:c r="K114" s="976" t="n">
        <x:f>MAX(0,(C114-'Delivery Scenarios'!$K$22-E114-I114)/H114)*1%</x:f>
        <x:v>0.23373864282414236</x:v>
      </x:c>
      <x:c r="L114" s="976" t="n">
        <x:f>MAX(0,(C114-D114-'Justice Sensitivity'!$G$7*'Benefits &amp; BCR'!$B$18/'Benefits &amp; BCR'!$C$18)/G114)*1%</x:f>
        <x:v>0.05137339582848922</x:v>
      </x:c>
      <x:c r="M114" s="976" t="n">
        <x:f>MAX(0,(C114-'Delivery Scenarios'!$K$22-E114-I114)/H114)*1%</x:f>
        <x:v>0.23373864282414236</x:v>
      </x:c>
      <x:c r="N114" s="972" t="n">
        <x:f>'Delivery Scenarios'!$K$22</x:f>
        <x:v>0</x:v>
      </x:c>
      <x:c r="O114" s="973" t="n">
        <x:f>(D114+G114*5)/C114</x:f>
        <x:v>0.9815880320452496</x:v>
      </x:c>
      <x:c r="P114" s="911" t="str">
        <x:v>Social return may cross 1.0x before Crown fiscal coverage reaches 1.0x.</x:v>
      </x:c>
      <x:c r="Q114" s="26"/>
      <x:c r="R114" s="26"/>
      <x:c r="S114" s="26"/>
    </x:row>
    <x:row r="115">
      <x:c r="A115" s="26" t="str">
        <x:v>Targeted pilot</x:v>
      </x:c>
      <x:c r="B115" s="185" t="n">
        <x:v>0.08</x:v>
      </x:c>
      <x:c r="C115" s="968" t="n">
        <x:f>'Delivery Scenarios'!$G$22</x:f>
        <x:v>97579970.263125</x:v>
      </x:c>
      <x:c r="D115" s="968" t="n">
        <x:f>'Benefits &amp; BCR'!$B$24+'Benefits &amp; BCR'!$B$64</x:f>
        <x:v>42493412.4724618</x:v>
      </x:c>
      <x:c r="E115" s="968" t="n">
        <x:f>'Benefits &amp; BCR'!$B$25+'Benefits &amp; BCR'!$B$64</x:f>
        <x:v>17946985.242257297</x:v>
      </x:c>
      <x:c r="F115" s="968" t="n">
        <x:f>(Assumptions!$E$17-'Benefits &amp; BCR'!$B$18)*'Delivery Scenarios'!$J$22*Assumptions!$E$141*Assumptions!$E$142*Assumptions!$E$143*(1-Assumptions!$E$144)*(1-Assumptions!$E$145)*(1-Assumptions!$E$146)*Assumptions!$E$137</x:f>
        <x:v>683.23497165</x:v>
      </x:c>
      <x:c r="G115" s="968" t="n">
        <x:f>F115*$M$90</x:f>
        <x:v>5868251.947301899</x:v>
      </x:c>
      <x:c r="H115" s="968" t="n">
        <x:f>F115*$M$91</x:f>
        <x:v>1784158.7629239864</x:v>
      </x:c>
      <x:c r="I115" s="968" t="n">
        <x:f>MAX(0,F115/Assumptions!$E$137)*Assumptions!$E$148*Assumptions!$E$149*Assumptions!$E$48/(1+B115)^2</x:f>
        <x:v>118303.62662708334</x:v>
      </x:c>
      <x:c r="J115" s="974" t="n">
        <x:f>MAX(0,(C115-D115)/G115)*1%</x:f>
        <x:v>0.09387217570982254</x:v>
      </x:c>
      <x:c r="K115" s="974" t="n">
        <x:f>MAX(0,(C115-'Delivery Scenarios'!$K$22-E115-I115)/H115)*1%</x:f>
        <x:v>0.44567043609912377</x:v>
      </x:c>
      <x:c r="L115" s="974" t="n">
        <x:f>MAX(0,(C115-D115-'Justice Sensitivity'!$G$7*'Benefits &amp; BCR'!$B$18/'Benefits &amp; BCR'!$C$18)/G115)*1%</x:f>
        <x:v>0.0933049262921266</x:v>
      </x:c>
      <x:c r="M115" s="974" t="n">
        <x:f>MAX(0,(C115-'Delivery Scenarios'!$K$22-E115-I115)/H115)*1%</x:f>
        <x:v>0.44567043609912377</x:v>
      </x:c>
      <x:c r="N115" s="968" t="n">
        <x:f>'Delivery Scenarios'!$K$22</x:f>
        <x:v>0</x:v>
      </x:c>
      <x:c r="O115" s="969" t="n">
        <x:f>(D115+G115*5)/C115</x:f>
        <x:v>0.7361620629240678</x:v>
      </x:c>
      <x:c r="P115" s="26" t="str">
        <x:v>Social return may cross 1.0x before Crown fiscal coverage reaches 1.0x.</x:v>
      </x:c>
      <x:c r="Q115" s="26"/>
      <x:c r="R115" s="26"/>
      <x:c r="S115" s="26"/>
    </x:row>
    <x:row r="116">
      <x:c r="A116" s="26" t="str">
        <x:v>Mature national design</x:v>
      </x:c>
      <x:c r="B116" s="185" t="n">
        <x:v>0.02</x:v>
      </x:c>
      <x:c r="C116" s="968" t="n">
        <x:f>'Delivery Scenarios'!$G$23</x:f>
        <x:v>1526137729.0833335</x:v>
      </x:c>
      <x:c r="D116" s="968" t="n">
        <x:f>'Benefits &amp; BCR'!$C$24*'Delivery Scenarios'!$I$23+'Cohort Bridge'!$D$30*1.0</x:f>
        <x:v>386628068.3707794</x:v>
      </x:c>
      <x:c r="E116" s="968" t="n">
        <x:f>'Benefits &amp; BCR'!$C$25*'Delivery Scenarios'!$I$23+'Cohort Bridge'!$D$30*1.0</x:f>
        <x:v>167994443.6843325</x:v>
      </x:c>
      <x:c r="F116" s="968" t="n">
        <x:f>('Delivery Scenarios'!$C$23-'Benefits &amp; BCR'!$C$18*'Delivery Scenarios'!$I$23)*'Delivery Scenarios'!$J$23*Assumptions!$E$141*Assumptions!$E$142*Assumptions!$E$143*(1-Assumptions!$E$144)*(1-Assumptions!$E$145)*(1-Assumptions!$E$146)*Assumptions!$E$137</x:f>
        <x:v>8583.853270349473</x:v>
      </x:c>
      <x:c r="G116" s="968" t="n">
        <x:f>F116*$K$90</x:f>
        <x:v>196036293.8565092</x:v>
      </x:c>
      <x:c r="H116" s="968" t="n">
        <x:f>F116*$K$91</x:f>
        <x:v>63948955.67808019</x:v>
      </x:c>
      <x:c r="I116" s="968" t="n">
        <x:f>MAX(0,F116/Assumptions!$E$137)*Assumptions!$E$148*Assumptions!$E$149*Assumptions!$E$48/(1+B116)^2</x:f>
        <x:v>1666316.2255703623</x:v>
      </x:c>
      <x:c r="J116" s="974" t="n">
        <x:f>MAX(0,(C116-D116)/G116)*1%</x:f>
        <x:v>0.058127484370145754</x:v>
      </x:c>
      <x:c r="K116" s="974" t="n">
        <x:f>MAX(0,(C116-'Delivery Scenarios'!$K$23-E116-I116)/H116)*1%</x:f>
        <x:v>0.21211870542530076</x:v>
      </x:c>
      <x:c r="L116" s="974" t="n">
        <x:f>MAX(0,(C116-D116-='Justice Sensitivity'!$G$7*'Delivery Scenarios'!$I$23)/G116)*1%</x:f>
        <x:v>0.0579762414712456</x:v>
      </x:c>
      <x:c r="M116" s="974" t="n">
        <x:f>MAX(0,(C116-'Delivery Scenarios'!$K$23-E116-I116)/H116)*1%</x:f>
        <x:v>0.21211870542530076</x:v>
      </x:c>
      <x:c r="N116" s="968" t="n">
        <x:f>'Delivery Scenarios'!$K$23</x:f>
        <x:v>0</x:v>
      </x:c>
      <x:c r="O116" s="969" t="n">
        <x:f>(D116+G116*5)/C116</x:f>
        <x:v>0.8956003849497204</x:v>
      </x:c>
      <x:c r="P116" s="26" t="str">
        <x:v>Social return may cross 1.0x before Crown fiscal coverage reaches 1.0x.</x:v>
      </x:c>
      <x:c r="Q116" s="26"/>
      <x:c r="R116" s="26"/>
      <x:c r="S116" s="26"/>
    </x:row>
    <x:row r="117">
      <x:c r="A117" s="911" t="str">
        <x:v>Mature national design</x:v>
      </x:c>
      <x:c r="B117" s="975" t="n">
        <x:v>0.04</x:v>
      </x:c>
      <x:c r="C117" s="972" t="n">
        <x:f>'Delivery Scenarios'!$G$23</x:f>
        <x:v>1526137729.0833335</x:v>
      </x:c>
      <x:c r="D117" s="972" t="n">
        <x:f>'Benefits &amp; BCR'!$C$24*'Delivery Scenarios'!$I$23+'Cohort Bridge'!$D$30*1.0</x:f>
        <x:v>386628068.3707794</x:v>
      </x:c>
      <x:c r="E117" s="972" t="n">
        <x:f>'Benefits &amp; BCR'!$C$25*'Delivery Scenarios'!$I$23+'Cohort Bridge'!$D$30*1.0</x:f>
        <x:v>167994443.6843325</x:v>
      </x:c>
      <x:c r="F117" s="972" t="n">
        <x:f>('Delivery Scenarios'!$C$23-'Benefits &amp; BCR'!$C$18*'Delivery Scenarios'!$I$23)*'Delivery Scenarios'!$J$23*Assumptions!$E$141*Assumptions!$E$142*Assumptions!$E$143*(1-Assumptions!$E$144)*(1-Assumptions!$E$145)*(1-Assumptions!$E$146)*Assumptions!$E$137</x:f>
        <x:v>8583.853270349473</x:v>
      </x:c>
      <x:c r="G117" s="972" t="n">
        <x:f>F117*$L$90</x:f>
        <x:v>133902057.18902911</x:v>
      </x:c>
      <x:c r="H117" s="972" t="n">
        <x:f>F117*$L$91</x:f>
        <x:v>42734471.737378865</x:v>
      </x:c>
      <x:c r="I117" s="972" t="n">
        <x:f>MAX(0,F117/Assumptions!$E$137)*Assumptions!$E$148*Assumptions!$E$149*Assumptions!$E$48/(1+B117)^2</x:f>
        <x:v>1602843.3811791833</x:v>
      </x:c>
      <x:c r="J117" s="976" t="n">
        <x:f>MAX(0,(C117-D117)/G117)*1%</x:f>
        <x:v>0.0851002355478312</x:v>
      </x:c>
      <x:c r="K117" s="976" t="n">
        <x:f>MAX(0,(C117-'Delivery Scenarios'!$K$23-E117-I117)/H117)*1%</x:f>
        <x:v>0.3174347047868822</x:v>
      </x:c>
      <x:c r="L117" s="976" t="n">
        <x:f>MAX(0,(C117-D117-='Justice Sensitivity'!$G$7*'Delivery Scenarios'!$I$23)/G117)*1%</x:f>
        <x:v>0.08487881178485909</x:v>
      </x:c>
      <x:c r="M117" s="976" t="n">
        <x:f>MAX(0,(C117-'Delivery Scenarios'!$K$23-E117-I117)/H117)*1%</x:f>
        <x:v>0.3174347047868822</x:v>
      </x:c>
      <x:c r="N117" s="972" t="n">
        <x:f>'Delivery Scenarios'!$K$23</x:f>
        <x:v>0</x:v>
      </x:c>
      <x:c r="O117" s="973" t="n">
        <x:f>(D117+G117*5)/C117</x:f>
        <x:v>0.6920334476956341</x:v>
      </x:c>
      <x:c r="P117" s="911" t="str">
        <x:v>Social return may cross 1.0x before Crown fiscal coverage reaches 1.0x.</x:v>
      </x:c>
      <x:c r="Q117" s="26"/>
      <x:c r="R117" s="26"/>
      <x:c r="S117" s="26"/>
    </x:row>
    <x:row r="118">
      <x:c r="A118" s="26" t="str">
        <x:v>Mature national design</x:v>
      </x:c>
      <x:c r="B118" s="185" t="n">
        <x:v>0.08</x:v>
      </x:c>
      <x:c r="C118" s="968" t="n">
        <x:f>'Delivery Scenarios'!$G$23</x:f>
        <x:v>1526137729.0833335</x:v>
      </x:c>
      <x:c r="D118" s="968" t="n">
        <x:f>'Benefits &amp; BCR'!$C$24*'Delivery Scenarios'!$I$23+'Cohort Bridge'!$D$30*1.0</x:f>
        <x:v>386628068.3707794</x:v>
      </x:c>
      <x:c r="E118" s="968" t="n">
        <x:f>'Benefits &amp; BCR'!$C$25*'Delivery Scenarios'!$I$23+'Cohort Bridge'!$D$30*1.0</x:f>
        <x:v>167994443.6843325</x:v>
      </x:c>
      <x:c r="F118" s="968" t="n">
        <x:f>('Delivery Scenarios'!$C$23-'Benefits &amp; BCR'!$C$18*'Delivery Scenarios'!$I$23)*'Delivery Scenarios'!$J$23*Assumptions!$E$141*Assumptions!$E$142*Assumptions!$E$143*(1-Assumptions!$E$144)*(1-Assumptions!$E$145)*(1-Assumptions!$E$146)*Assumptions!$E$137</x:f>
        <x:v>8583.853270349473</x:v>
      </x:c>
      <x:c r="G118" s="968" t="n">
        <x:f>F118*$M$90</x:f>
        <x:v>73726047.05440368</x:v>
      </x:c>
      <x:c r="H118" s="968" t="n">
        <x:f>F118*$M$91</x:f>
        <x:v>22415358.796641205</x:v>
      </x:c>
      <x:c r="I118" s="968" t="n">
        <x:f>MAX(0,F118/Assumptions!$E$137)*Assumptions!$E$148*Assumptions!$E$149*Assumptions!$E$48/(1+B118)^2</x:f>
        <x:v>1486312.929598255</x:v>
      </x:c>
      <x:c r="J118" s="974" t="n">
        <x:f>MAX(0,(C118-D118)/G118)*1%</x:f>
        <x:v>0.15455998337625385</x:v>
      </x:c>
      <x:c r="K118" s="974" t="n">
        <x:f>MAX(0,(C118-'Delivery Scenarios'!$K$23-E118-I118)/H118)*1%</x:f>
        <x:v>0.6052354480592517</x:v>
      </x:c>
      <x:c r="L118" s="974" t="n">
        <x:f>MAX(0,(C118-D118-='Justice Sensitivity'!$G$7*'Delivery Scenarios'!$I$23)/G118)*1%</x:f>
        <x:v>0.1541578311036571</x:v>
      </x:c>
      <x:c r="M118" s="974" t="n">
        <x:f>MAX(0,(C118-'Delivery Scenarios'!$K$23-E118-I118)/H118)*1%</x:f>
        <x:v>0.6052354480592517</x:v>
      </x:c>
      <x:c r="N118" s="968" t="n">
        <x:f>'Delivery Scenarios'!$K$23</x:f>
        <x:v>0</x:v>
      </x:c>
      <x:c r="O118" s="969" t="n">
        <x:f>(D118+G118*5)/C118</x:f>
        <x:v>0.49488213891182653</x:v>
      </x:c>
      <x:c r="P118" s="26" t="str">
        <x:v>Social return may cross 1.0x before Crown fiscal coverage reaches 1.0x.</x:v>
      </x:c>
      <x:c r="Q118" s="26"/>
      <x:c r="R118" s="26"/>
      <x:c r="S118" s="26"/>
    </x:row>
    <x:row r="119">
      <x:c r="A119" s="26"/>
      <x:c r="B119" s="26"/>
      <x:c r="C119" s="26"/>
      <x:c r="D119" s="26"/>
      <x:c r="E119" s="26"/>
      <x:c r="F119" s="26"/>
      <x:c r="G119" s="26"/>
      <x:c r="H119" s="26"/>
      <x:c r="I119" s="26"/>
      <x:c r="J119" s="26"/>
      <x:c r="K119" s="26"/>
      <x:c r="L119" s="26"/>
      <x:c r="M119" s="26"/>
      <x:c r="N119" s="26"/>
      <x:c r="O119" s="26"/>
      <x:c r="P119" s="26"/>
      <x:c r="Q119" s="26"/>
      <x:c r="R119" s="26"/>
      <x:c r="S119" s="26"/>
    </x:row>
    <x:row r="120">
      <x:c r="A120" s="26"/>
      <x:c r="B120" s="26"/>
      <x:c r="C120" s="26"/>
      <x:c r="D120" s="26"/>
      <x:c r="E120" s="26"/>
      <x:c r="F120" s="26"/>
      <x:c r="G120" s="26"/>
      <x:c r="H120" s="26"/>
      <x:c r="I120" s="26"/>
      <x:c r="J120" s="26"/>
      <x:c r="K120" s="26"/>
      <x:c r="L120" s="26"/>
      <x:c r="M120" s="26"/>
      <x:c r="N120" s="26"/>
      <x:c r="O120" s="26"/>
      <x:c r="P120" s="26"/>
      <x:c r="Q120" s="26"/>
      <x:c r="R120" s="26"/>
      <x:c r="S120" s="26"/>
    </x:row>
    <x:row r="121" ht="23" customHeight="1">
      <x:c r="A121" s="905" t="str">
        <x:v>Formal overlap matrix and selected treatment</x:v>
      </x:c>
      <x:c r="B121" s="905"/>
      <x:c r="C121" s="905"/>
      <x:c r="D121" s="905"/>
      <x:c r="E121" s="905"/>
      <x:c r="F121" s="905"/>
      <x:c r="G121" s="905"/>
      <x:c r="H121" s="905"/>
      <x:c r="I121" s="905"/>
      <x:c r="J121" s="905"/>
      <x:c r="K121" s="905"/>
      <x:c r="L121" s="905"/>
      <x:c r="M121" s="905"/>
      <x:c r="N121" s="905"/>
      <x:c r="O121" s="905"/>
      <x:c r="P121" s="905"/>
      <x:c r="Q121" s="905"/>
      <x:c r="R121" s="905"/>
      <x:c r="S121" s="905"/>
    </x:row>
    <x:row r="122" ht="30" customHeight="1">
      <x:c r="A122" s="909" t="str">
        <x:v>Benefit / mechanism</x:v>
      </x:c>
      <x:c r="B122" s="909" t="str">
        <x:v>Potential overlap</x:v>
      </x:c>
      <x:c r="C122" s="909" t="str">
        <x:v>Selected central treatment</x:v>
      </x:c>
      <x:c r="D122" s="909" t="str">
        <x:v>Social BCR</x:v>
      </x:c>
      <x:c r="E122" s="909" t="str">
        <x:v>Crown view</x:v>
      </x:c>
      <x:c r="F122" s="909" t="str">
        <x:v>Additive?</x:v>
      </x:c>
      <x:c r="G122" s="909" t="str">
        <x:v>Evidence gate</x:v>
      </x:c>
      <x:c r="H122" s="909" t="str">
        <x:v>Reason</x:v>
      </x:c>
      <x:c r="I122" s="26"/>
      <x:c r="J122" s="26"/>
      <x:c r="K122" s="26"/>
      <x:c r="L122" s="26"/>
      <x:c r="M122" s="26"/>
      <x:c r="N122" s="26"/>
      <x:c r="O122" s="26"/>
      <x:c r="P122" s="26"/>
      <x:c r="Q122" s="26"/>
      <x:c r="R122" s="26"/>
      <x:c r="S122" s="26"/>
    </x:row>
    <x:row r="123">
      <x:c r="A123" s="26" t="str">
        <x:v>Attendance improvement</x:v>
      </x:c>
      <x:c r="B123" s="26" t="str">
        <x:v>Qualification and employment outcomes</x:v>
      </x:c>
      <x:c r="C123" s="26" t="str">
        <x:v>Mechanism indicator only</x:v>
      </x:c>
      <x:c r="D123" s="26" t="str">
        <x:v>No separate value</x:v>
      </x:c>
      <x:c r="E123" s="26" t="str">
        <x:v>No separate value</x:v>
      </x:c>
      <x:c r="F123" s="26" t="str">
        <x:v>No</x:v>
      </x:c>
      <x:c r="G123" s="26" t="str">
        <x:v>Pilot causal estimate</x:v>
      </x:c>
      <x:c r="H123" s="26" t="str">
        <x:v>Avoids valuing the same pathway repeatedly.</x:v>
      </x:c>
      <x:c r="I123" s="26"/>
      <x:c r="J123" s="26"/>
      <x:c r="K123" s="26"/>
      <x:c r="L123" s="26"/>
      <x:c r="M123" s="26"/>
      <x:c r="N123" s="26"/>
      <x:c r="O123" s="26"/>
      <x:c r="P123" s="26"/>
      <x:c r="Q123" s="26"/>
      <x:c r="R123" s="26"/>
      <x:c r="S123" s="26"/>
    </x:row>
    <x:row r="124">
      <x:c r="A124" s="26" t="str">
        <x:v>Qualification attainment</x:v>
      </x:c>
      <x:c r="B124" s="26" t="str">
        <x:v>Qualification premium and whole-cohort earnings</x:v>
      </x:c>
      <x:c r="C124" s="26" t="str">
        <x:v>Mechanism indicator only</x:v>
      </x:c>
      <x:c r="D124" s="26" t="str">
        <x:v>No separate value</x:v>
      </x:c>
      <x:c r="E124" s="26" t="str">
        <x:v>No separate value</x:v>
      </x:c>
      <x:c r="F124" s="26" t="str">
        <x:v>No</x:v>
      </x:c>
      <x:c r="G124" s="26" t="str">
        <x:v>Pilot causal estimate</x:v>
      </x:c>
      <x:c r="H124" s="26" t="str">
        <x:v>Observed premiums provide context, not an additive benefit.</x:v>
      </x:c>
      <x:c r="I124" s="26"/>
      <x:c r="J124" s="26"/>
      <x:c r="K124" s="26"/>
      <x:c r="L124" s="26"/>
      <x:c r="M124" s="26"/>
      <x:c r="N124" s="26"/>
      <x:c r="O124" s="26"/>
      <x:c r="P124" s="26"/>
      <x:c r="Q124" s="26"/>
      <x:c r="R124" s="26"/>
      <x:c r="S124" s="26"/>
    </x:row>
    <x:row r="125">
      <x:c r="A125" s="26" t="str">
        <x:v>Whole-cohort earnings uplift</x:v>
      </x:c>
      <x:c r="B125" s="26" t="str">
        <x:v>Pacheco productivity loss avoided</x:v>
      </x:c>
      <x:c r="C125" s="26" t="str">
        <x:v>Excludes modelled averted sustained-NEET cases</x:v>
      </x:c>
      <x:c r="D125" s="26" t="str">
        <x:v>Yes</x:v>
      </x:c>
      <x:c r="E125" s="26" t="str">
        <x:v>Tax only</x:v>
      </x:c>
      <x:c r="F125" s="26" t="str">
        <x:v>Yes after exclusion</x:v>
      </x:c>
      <x:c r="G125" s="26" t="str">
        <x:v>Pilot earnings evidence</x:v>
      </x:c>
      <x:c r="H125" s="26" t="str">
        <x:v>Selected non-overlap method.</x:v>
      </x:c>
      <x:c r="I125" s="26"/>
      <x:c r="J125" s="26"/>
      <x:c r="K125" s="26"/>
      <x:c r="L125" s="26"/>
      <x:c r="M125" s="26"/>
      <x:c r="N125" s="26"/>
      <x:c r="O125" s="26"/>
      <x:c r="P125" s="26"/>
      <x:c r="Q125" s="26"/>
      <x:c r="R125" s="26"/>
      <x:c r="S125" s="26"/>
    </x:row>
    <x:row r="126">
      <x:c r="A126" s="26" t="str">
        <x:v>NEET productivity benefit</x:v>
      </x:c>
      <x:c r="B126" s="26" t="str">
        <x:v>Whole-cohort earnings</x:v>
      </x:c>
      <x:c r="C126" s="26" t="str">
        <x:v>Pacheco stream retained for averted sustained-NEET cases</x:v>
      </x:c>
      <x:c r="D126" s="26" t="str">
        <x:v>Yes</x:v>
      </x:c>
      <x:c r="E126" s="26" t="str">
        <x:v>No</x:v>
      </x:c>
      <x:c r="F126" s="26" t="str">
        <x:v>Yes after exclusion</x:v>
      </x:c>
      <x:c r="G126" s="26" t="str">
        <x:v>S02 and pilot</x:v>
      </x:c>
      <x:c r="H126" s="26" t="str">
        <x:v>High-risk outcome family.</x:v>
      </x:c>
      <x:c r="I126" s="26"/>
      <x:c r="J126" s="26"/>
      <x:c r="K126" s="26"/>
      <x:c r="L126" s="26"/>
      <x:c r="M126" s="26"/>
      <x:c r="N126" s="26"/>
      <x:c r="O126" s="26"/>
      <x:c r="P126" s="26"/>
      <x:c r="Q126" s="26"/>
      <x:c r="R126" s="26"/>
      <x:c r="S126" s="26"/>
    </x:row>
    <x:row r="127">
      <x:c r="A127" s="26" t="str">
        <x:v>Income tax and ACC</x:v>
      </x:c>
      <x:c r="B127" s="26" t="str">
        <x:v>Gross earnings</x:v>
      </x:c>
      <x:c r="C127" s="26" t="str">
        <x:v>Crown fiscal view only</x:v>
      </x:c>
      <x:c r="D127" s="26" t="str">
        <x:v>No — transfer</x:v>
      </x:c>
      <x:c r="E127" s="26" t="str">
        <x:v>Yes</x:v>
      </x:c>
      <x:c r="F127" s="26" t="str">
        <x:v>Yes in Crown view</x:v>
      </x:c>
      <x:c r="G127" s="26" t="str">
        <x:v>IRD rates</x:v>
      </x:c>
      <x:c r="H127" s="26" t="str">
        <x:v>Do not treat gross earnings as Crown saving.</x:v>
      </x:c>
      <x:c r="I127" s="26"/>
      <x:c r="J127" s="26"/>
      <x:c r="K127" s="26"/>
      <x:c r="L127" s="26"/>
      <x:c r="M127" s="26"/>
      <x:c r="N127" s="26"/>
      <x:c r="O127" s="26"/>
      <x:c r="P127" s="26"/>
      <x:c r="Q127" s="26"/>
      <x:c r="R127" s="26"/>
      <x:c r="S127" s="26"/>
    </x:row>
    <x:row r="128">
      <x:c r="A128" s="26" t="str">
        <x:v>Benefit savings</x:v>
      </x:c>
      <x:c r="B128" s="26" t="str">
        <x:v>NEET public-finance value</x:v>
      </x:c>
      <x:c r="C128" s="26" t="str">
        <x:v>Broad non-NEET population only</x:v>
      </x:c>
      <x:c r="D128" s="26" t="str">
        <x:v>No — transfer</x:v>
      </x:c>
      <x:c r="E128" s="26" t="str">
        <x:v>Yes</x:v>
      </x:c>
      <x:c r="F128" s="26" t="str">
        <x:v>Limited</x:v>
      </x:c>
      <x:c r="G128" s="26" t="str">
        <x:v>Linked benefit data</x:v>
      </x:c>
      <x:c r="H128" s="26" t="str">
        <x:v>Excludes modelled averted NEET cases.</x:v>
      </x:c>
      <x:c r="I128" s="26"/>
      <x:c r="J128" s="26"/>
      <x:c r="K128" s="26"/>
      <x:c r="L128" s="26"/>
      <x:c r="M128" s="26"/>
      <x:c r="N128" s="26"/>
      <x:c r="O128" s="26"/>
      <x:c r="P128" s="26"/>
      <x:c r="Q128" s="26"/>
      <x:c r="R128" s="26"/>
      <x:c r="S128" s="26"/>
    </x:row>
    <x:row r="129">
      <x:c r="A129" s="26" t="str">
        <x:v>Learning Capital account value</x:v>
      </x:c>
      <x:c r="B129" s="26" t="str">
        <x:v>Education costs and student debt avoided</x:v>
      </x:c>
      <x:c r="C129" s="26" t="str">
        <x:v>Student outcome only</x:v>
      </x:c>
      <x:c r="D129" s="26" t="str">
        <x:v>No separate principal value</x:v>
      </x:c>
      <x:c r="E129" s="26" t="str">
        <x:v>No</x:v>
      </x:c>
      <x:c r="F129" s="26" t="str">
        <x:v>No</x:v>
      </x:c>
      <x:c r="G129" s="26" t="str">
        <x:v>Provider statements</x:v>
      </x:c>
      <x:c r="H129" s="26" t="str">
        <x:v>Same protected resource.</x:v>
      </x:c>
      <x:c r="I129" s="26"/>
      <x:c r="J129" s="26"/>
      <x:c r="K129" s="26"/>
      <x:c r="L129" s="26"/>
      <x:c r="M129" s="26"/>
      <x:c r="N129" s="26"/>
      <x:c r="O129" s="26"/>
      <x:c r="P129" s="26"/>
      <x:c r="Q129" s="26"/>
      <x:c r="R129" s="26"/>
      <x:c r="S129" s="26"/>
    </x:row>
    <x:row r="130">
      <x:c r="A130" s="26" t="str">
        <x:v>Student debt avoided</x:v>
      </x:c>
      <x:c r="B130" s="26" t="str">
        <x:v>Crown lending and fair-value cost</x:v>
      </x:c>
      <x:c r="C130" s="26" t="str">
        <x:v>Student outcome only</x:v>
      </x:c>
      <x:c r="D130" s="26" t="str">
        <x:v>No separate value</x:v>
      </x:c>
      <x:c r="E130" s="26" t="str">
        <x:v>No</x:v>
      </x:c>
      <x:c r="F130" s="26" t="str">
        <x:v>No</x:v>
      </x:c>
      <x:c r="G130" s="26" t="str">
        <x:v>Counterfactual borrowing</x:v>
      </x:c>
      <x:c r="H130" s="26" t="str">
        <x:v>Same financial resource from another perspective.</x:v>
      </x:c>
      <x:c r="I130" s="26"/>
      <x:c r="J130" s="26"/>
      <x:c r="K130" s="26"/>
      <x:c r="L130" s="26"/>
      <x:c r="M130" s="26"/>
      <x:c r="N130" s="26"/>
      <x:c r="O130" s="26"/>
      <x:c r="P130" s="26"/>
      <x:c r="Q130" s="26"/>
      <x:c r="R130" s="26"/>
      <x:c r="S130" s="26"/>
    </x:row>
    <x:row r="131">
      <x:c r="A131" s="26" t="str">
        <x:v>Gross Crown lending avoided</x:v>
      </x:c>
      <x:c r="B131" s="26" t="str">
        <x:v>Fair-value subsidy avoided</x:v>
      </x:c>
      <x:c r="C131" s="26" t="str">
        <x:v>Cash-flow disclosure only</x:v>
      </x:c>
      <x:c r="D131" s="26" t="str">
        <x:v>No</x:v>
      </x:c>
      <x:c r="E131" s="26" t="str">
        <x:v>Not net saving</x:v>
      </x:c>
      <x:c r="F131" s="26" t="str">
        <x:v>No</x:v>
      </x:c>
      <x:c r="G131" s="26" t="str">
        <x:v>Official actuarial method</x:v>
      </x:c>
      <x:c r="H131" s="26" t="str">
        <x:v>Repayments are also forgone.</x:v>
      </x:c>
      <x:c r="I131" s="26"/>
      <x:c r="J131" s="26"/>
      <x:c r="K131" s="26"/>
      <x:c r="L131" s="26"/>
      <x:c r="M131" s="26"/>
      <x:c r="N131" s="26"/>
      <x:c r="O131" s="26"/>
      <x:c r="P131" s="26"/>
      <x:c r="Q131" s="26"/>
      <x:c r="R131" s="26"/>
      <x:c r="S131" s="26"/>
    </x:row>
    <x:row r="132">
      <x:c r="A132" s="26" t="str">
        <x:v>Student-loan fair-value cost avoided</x:v>
      </x:c>
      <x:c r="B132" s="26" t="str">
        <x:v>Inflation and cost of capital views</x:v>
      </x:c>
      <x:c r="C132" s="26" t="str">
        <x:v>Central Crown student-loan offset</x:v>
      </x:c>
      <x:c r="D132" s="26" t="str">
        <x:v>Potential fiscal efficiency</x:v>
      </x:c>
      <x:c r="E132" s="26" t="str">
        <x:v>Yes</x:v>
      </x:c>
      <x:c r="F132" s="26" t="str">
        <x:v>Yes once</x:v>
      </x:c>
      <x:c r="G132" s="26" t="str">
        <x:v>Official actuarial method</x:v>
      </x:c>
      <x:c r="H132" s="26" t="str">
        <x:v>Inflation and carrying-cost views are non-additive.</x:v>
      </x:c>
      <x:c r="I132" s="26"/>
      <x:c r="J132" s="26"/>
      <x:c r="K132" s="26"/>
      <x:c r="L132" s="26"/>
      <x:c r="M132" s="26"/>
      <x:c r="N132" s="26"/>
      <x:c r="O132" s="26"/>
      <x:c r="P132" s="26"/>
      <x:c r="Q132" s="26"/>
      <x:c r="R132" s="26"/>
      <x:c r="S132" s="26"/>
    </x:row>
    <x:row r="133">
      <x:c r="A133" s="26" t="str">
        <x:v>Investment earnings</x:v>
      </x:c>
      <x:c r="B133" s="26" t="str">
        <x:v>Account balance and public opportunity cost</x:v>
      </x:c>
      <x:c r="C133" s="26" t="str">
        <x:v>Student outcome; excluded as free social benefit</x:v>
      </x:c>
      <x:c r="D133" s="26" t="str">
        <x:v>No</x:v>
      </x:c>
      <x:c r="E133" s="26" t="str">
        <x:v>No</x:v>
      </x:c>
      <x:c r="F133" s="26" t="str">
        <x:v>No</x:v>
      </x:c>
      <x:c r="G133" s="26" t="str">
        <x:v>Investment mandate</x:v>
      </x:c>
      <x:c r="H133" s="26" t="str">
        <x:v>Public capital is committed to generate the return.</x:v>
      </x:c>
      <x:c r="I133" s="26"/>
      <x:c r="J133" s="26"/>
      <x:c r="K133" s="26"/>
      <x:c r="L133" s="26"/>
      <x:c r="M133" s="26"/>
      <x:c r="N133" s="26"/>
      <x:c r="O133" s="26"/>
      <x:c r="P133" s="26"/>
      <x:c r="Q133" s="26"/>
      <x:c r="R133" s="26"/>
      <x:c r="S133" s="26"/>
    </x:row>
    <x:row r="134">
      <x:c r="A134" s="26" t="str">
        <x:v>Justice resource value</x:v>
      </x:c>
      <x:c r="B134" s="26" t="str">
        <x:v>Victim harm and Corrections costs</x:v>
      </x:c>
      <x:c r="C134" s="26" t="str">
        <x:v>Separate sensitivity only</x:v>
      </x:c>
      <x:c r="D134" s="26" t="str">
        <x:v>Illustrative</x:v>
      </x:c>
      <x:c r="E134" s="26" t="str">
        <x:v>Cashable value zero</x:v>
      </x:c>
      <x:c r="F134" s="26" t="str">
        <x:v>No headline</x:v>
      </x:c>
      <x:c r="G134" s="26" t="str">
        <x:v>Causal justice evidence</x:v>
      </x:c>
      <x:c r="H134" s="26" t="str">
        <x:v>Avoids claiming average resource cost as cash saving.</x:v>
      </x:c>
      <x:c r="I134" s="26"/>
      <x:c r="J134" s="26"/>
      <x:c r="K134" s="26"/>
      <x:c r="L134" s="26"/>
      <x:c r="M134" s="26"/>
      <x:c r="N134" s="26"/>
      <x:c r="O134" s="26"/>
      <x:c r="P134" s="26"/>
      <x:c r="Q134" s="26"/>
      <x:c r="R134" s="26"/>
      <x:c r="S134" s="26"/>
    </x:row>
    <x:row r="135">
      <x:c r="A135" s="26" t="str">
        <x:v>Committed industry funding</x:v>
      </x:c>
      <x:c r="B135" s="26" t="str">
        <x:v>Programme cost</x:v>
      </x:c>
      <x:c r="C135" s="26" t="str">
        <x:v>Crown cost reduction only when signed</x:v>
      </x:c>
      <x:c r="D135" s="26" t="str">
        <x:v>No social-cost reduction</x:v>
      </x:c>
      <x:c r="E135" s="26" t="str">
        <x:v>Yes</x:v>
      </x:c>
      <x:c r="F135" s="26" t="str">
        <x:v>Yes in Crown denominator</x:v>
      </x:c>
      <x:c r="G135" s="26" t="str">
        <x:v>Signed agreement</x:v>
      </x:c>
      <x:c r="H135" s="26" t="str">
        <x:v>Industry funding is not free or guaranteed.</x:v>
      </x:c>
      <x:c r="I135" s="26"/>
      <x:c r="J135" s="26"/>
      <x:c r="K135" s="26"/>
      <x:c r="L135" s="26"/>
      <x:c r="M135" s="26"/>
      <x:c r="N135" s="26"/>
      <x:c r="O135" s="26"/>
      <x:c r="P135" s="26"/>
      <x:c r="Q135" s="26"/>
      <x:c r="R135" s="26"/>
      <x:c r="S135" s="26"/>
    </x:row>
    <x:row r="137">
      <x:c r="A137" s="1062" t="str">
        <x:v>Earnings-uplift interpretation bridge</x:v>
      </x:c>
      <x:c r="B137" s="1062"/>
      <x:c r="C137" s="1062"/>
      <x:c r="D137" s="1062"/>
      <x:c r="E137" s="1062"/>
      <x:c r="F137" s="1062"/>
      <x:c r="G137" s="1062"/>
      <x:c r="H137" s="1062"/>
      <x:c r="I137" s="1062"/>
    </x:row>
    <x:row r="138">
      <x:c r="A138" s="1065" t="str">
        <x:v>Measure</x:v>
      </x:c>
      <x:c r="B138" s="1065" t="str">
        <x:v>0.25% affected-population uplift</x:v>
      </x:c>
      <x:c r="C138" s="1065" t="str">
        <x:v>0.5% affected-population uplift</x:v>
      </x:c>
      <x:c r="D138" s="1065" t="str">
        <x:v>1.0% affected-population uplift</x:v>
      </x:c>
      <x:c r="E138" s="1065" t="str">
        <x:v>3.0% affected-population uplift</x:v>
      </x:c>
      <x:c r="F138" s="1065" t="str">
        <x:v>5.0% affected-population uplift</x:v>
      </x:c>
      <x:c r="G138" s="1065" t="str">
        <x:v>Unit</x:v>
      </x:c>
      <x:c r="H138" s="1065" t="str">
        <x:v>Meaning</x:v>
      </x:c>
      <x:c r="I138" s="1065" t="str">
        <x:v>Decision warning</x:v>
      </x:c>
    </x:row>
    <x:row r="139">
      <x:c r="A139" s="26" t="str">
        <x:v>Affected-population earnings uplift</x:v>
      </x:c>
      <x:c r="B139" s="1068" t="n">
        <x:v>0.0025</x:v>
      </x:c>
      <x:c r="C139" s="1068" t="n">
        <x:v>0.005</x:v>
      </x:c>
      <x:c r="D139" s="1068" t="n">
        <x:v>0.01</x:v>
      </x:c>
      <x:c r="E139" s="1068" t="n">
        <x:v>0.03</x:v>
      </x:c>
      <x:c r="F139" s="1068" t="n">
        <x:v>0.05</x:v>
      </x:c>
      <x:c r="G139" s="26" t="str">
        <x:v>%</x:v>
      </x:c>
      <x:c r="H139" s="26" t="str">
        <x:v>Applied only to the effective affected employed population.</x:v>
      </x:c>
      <x:c r="I139" s="26" t="str">
        <x:v>Not a uniform uplift for all students.</x:v>
      </x:c>
    </x:row>
    <x:row r="140">
      <x:c r="A140" s="26" t="str">
        <x:v>Value-weighted equivalent average uplift — broad non-overlap cohort</x:v>
      </x:c>
      <x:c r="B140" s="1068" t="n">
        <x:f>B139*$B$41/($B$31*$B$40)</x:f>
        <x:v>0.0004142475</x:v>
      </x:c>
      <x:c r="C140" s="1068" t="n">
        <x:f>C139*$B$41/($B$31*$B$40)</x:f>
        <x:v>0.000828495</x:v>
      </x:c>
      <x:c r="D140" s="1068" t="n">
        <x:f>D139*$B$41/($B$31*$B$40)</x:f>
        <x:v>0.00165699</x:v>
      </x:c>
      <x:c r="E140" s="1068" t="n">
        <x:f>E139*$B$41/($B$31*$B$40)</x:f>
        <x:v>0.004970969999999999</x:v>
      </x:c>
      <x:c r="F140" s="1068" t="n">
        <x:f>F139*$B$41/($B$31*$B$40)</x:f>
        <x:v>0.00828495</x:v>
      </x:c>
      <x:c r="G140" s="26" t="str">
        <x:v>%</x:v>
      </x:c>
      <x:c r="H140" s="26" t="str">
        <x:v>Same modelled lifetime earnings value spread across the broad non-overlap cohort.</x:v>
      </x:c>
      <x:c r="I140" s="26" t="str">
        <x:v>Use for broad-cohort communication.</x:v>
      </x:c>
    </x:row>
    <x:row r="141">
      <x:c r="A141" s="26" t="str">
        <x:v>Value-weighted equivalent average uplift — full eligible cohort</x:v>
      </x:c>
      <x:c r="B141" s="1068" t="n">
        <x:f>B139*$B$41/($B$29*$B$40)</x:f>
        <x:v>0.00040492693124999997</x:v>
      </x:c>
      <x:c r="C141" s="1068" t="n">
        <x:f>C139*$B$41/($B$29*$B$40)</x:f>
        <x:v>0.0008098538624999999</x:v>
      </x:c>
      <x:c r="D141" s="1068" t="n">
        <x:f>D139*$B$41/($B$29*$B$40)</x:f>
        <x:v>0.0016197077249999999</x:v>
      </x:c>
      <x:c r="E141" s="1068" t="n">
        <x:f>E139*$B$41/($B$29*$B$40)</x:f>
        <x:v>0.004859123174999999</x:v>
      </x:c>
      <x:c r="F141" s="1068" t="n">
        <x:f>F139*$B$41/($B$29*$B$40)</x:f>
        <x:v>0.008098538624999999</x:v>
      </x:c>
      <x:c r="G141" s="26" t="str">
        <x:v>%</x:v>
      </x:c>
      <x:c r="H141" s="26" t="str">
        <x:v>Same modelled lifetime earnings value spread across the full annual eligible cohort.</x:v>
      </x:c>
      <x:c r="I141" s="26" t="str">
        <x:v>Use for public whole-cohort communication.</x:v>
      </x:c>
    </x:row>
    <x:row r="142">
      <x:c r="A142" s="26" t="str">
        <x:v>Simple headcount-weighted equivalent — full eligible cohort</x:v>
      </x:c>
      <x:c r="B142" s="1068" t="n">
        <x:f>B139*$B$41/$B$29</x:f>
        <x:v>0.00034418789156249996</x:v>
      </x:c>
      <x:c r="C142" s="1068" t="n">
        <x:f>C139*$B$41/$B$29</x:f>
        <x:v>0.0006883757831249999</x:v>
      </x:c>
      <x:c r="D142" s="1068" t="n">
        <x:f>D139*$B$41/$B$29</x:f>
        <x:v>0.0013767515662499999</x:v>
      </x:c>
      <x:c r="E142" s="1068" t="n">
        <x:f>E139*$B$41/$B$29</x:f>
        <x:v>0.004130254698749999</x:v>
      </x:c>
      <x:c r="F142" s="1068" t="n">
        <x:f>F139*$B$41/$B$29</x:f>
        <x:v>0.006883757831249998</x:v>
      </x:c>
      <x:c r="G142" s="26" t="str">
        <x:v>%</x:v>
      </x:c>
      <x:c r="H142" s="26" t="str">
        <x:v>Affected uplift multiplied by the effective affected employed share of the full cohort.</x:v>
      </x:c>
      <x:c r="I142" s="26" t="str">
        <x:v>Secondary explanatory approximation; not the preferred value-weighted measure.</x:v>
      </x:c>
    </x:row>
    <x:row r="143">
      <x:c r="A143" s="26" t="str">
        <x:v>Annual eligible cohort</x:v>
      </x:c>
      <x:c r="B143" s="1069" t="n">
        <x:f>$B$29</x:f>
        <x:v>62348.6</x:v>
      </x:c>
      <x:c r="C143" s="1069" t="n">
        <x:f>$B$29</x:f>
        <x:v>62348.6</x:v>
      </x:c>
      <x:c r="D143" s="1069" t="n">
        <x:f>$B$29</x:f>
        <x:v>62348.6</x:v>
      </x:c>
      <x:c r="E143" s="1069" t="n">
        <x:f>$B$29</x:f>
        <x:v>62348.6</x:v>
      </x:c>
      <x:c r="F143" s="1069" t="n">
        <x:f>$B$29</x:f>
        <x:v>62348.6</x:v>
      </x:c>
      <x:c r="G143" s="26" t="str">
        <x:v>people</x:v>
      </x:c>
      <x:c r="H143" s="26" t="str">
        <x:v>One entrant/exit cohort.</x:v>
      </x:c>
      <x:c r="I143" s="26"/>
    </x:row>
    <x:row r="144">
      <x:c r="A144" s="26" t="str">
        <x:v>Broad non-overlap cohort</x:v>
      </x:c>
      <x:c r="B144" s="1069" t="n">
        <x:f>$B$31</x:f>
        <x:v>60945.756499999996</x:v>
      </x:c>
      <x:c r="C144" s="1069" t="n">
        <x:f>$B$31</x:f>
        <x:v>60945.756499999996</x:v>
      </x:c>
      <x:c r="D144" s="1069" t="n">
        <x:f>$B$31</x:f>
        <x:v>60945.756499999996</x:v>
      </x:c>
      <x:c r="E144" s="1069" t="n">
        <x:f>$B$31</x:f>
        <x:v>60945.756499999996</x:v>
      </x:c>
      <x:c r="F144" s="1069" t="n">
        <x:f>$B$31</x:f>
        <x:v>60945.756499999996</x:v>
      </x:c>
      <x:c r="G144" s="26" t="str">
        <x:v>people</x:v>
      </x:c>
      <x:c r="H144" s="26" t="str">
        <x:v>Eligible cohort less separately valued sustained-NEET cases.</x:v>
      </x:c>
      <x:c r="I144" s="26"/>
    </x:row>
    <x:row r="145">
      <x:c r="A145" s="26" t="str">
        <x:v>Effective affected employed population</x:v>
      </x:c>
      <x:c r="B145" s="1069" t="n">
        <x:f>$B$41</x:f>
        <x:v>8583.853270349473</x:v>
      </x:c>
      <x:c r="C145" s="1069" t="n">
        <x:f>$B$41</x:f>
        <x:v>8583.853270349473</x:v>
      </x:c>
      <x:c r="D145" s="1069" t="n">
        <x:f>$B$41</x:f>
        <x:v>8583.853270349473</x:v>
      </x:c>
      <x:c r="E145" s="1069" t="n">
        <x:f>$B$41</x:f>
        <x:v>8583.853270349473</x:v>
      </x:c>
      <x:c r="F145" s="1069" t="n">
        <x:f>$B$41</x:f>
        <x:v>8583.853270349473</x:v>
      </x:c>
      <x:c r="G145" s="26" t="str">
        <x:v>people</x:v>
      </x:c>
      <x:c r="H145" s="26" t="str">
        <x:v>Population receiving the modelled affected-population earnings uplift.</x:v>
      </x:c>
      <x:c r="I145" s="26"/>
    </x:row>
    <x:row r="146">
      <x:c r="A146" s="26" t="str">
        <x:v>Population reconciliation check</x:v>
      </x:c>
      <x:c r="B146" s="1069" t="n">
        <x:f>$B$41</x:f>
        <x:v>8583.853270349473</x:v>
      </x:c>
      <x:c r="C146" s="1069" t="n">
        <x:f>$B$41</x:f>
        <x:v>8583.853270349473</x:v>
      </x:c>
      <x:c r="D146" s="1069" t="n">
        <x:f>$B$41</x:f>
        <x:v>8583.853270349473</x:v>
      </x:c>
      <x:c r="E146" s="1069" t="n">
        <x:f>$B$41</x:f>
        <x:v>8583.853270349473</x:v>
      </x:c>
      <x:c r="F146" s="1069" t="n">
        <x:f>$B$41</x:f>
        <x:v>8583.853270349473</x:v>
      </x:c>
      <x:c r="G146" s="26" t="str">
        <x:v>people</x:v>
      </x:c>
      <x:c r="H146" s="26" t="str">
        <x:v>Annual eligible cohort less sustained-NEET cases, then adjusted through each population factor.</x:v>
      </x:c>
      <x:c r="I146" s="26" t="str">
        <x:v>Must reconcile to the effective affected employed population.</x:v>
      </x:c>
    </x:row>
    <x:row r="147">
      <x:c r="A147" s="26" t="str">
        <x:v>Interpretation</x:v>
      </x:c>
      <x:c r="B147" s="26"/>
      <x:c r="C147" s="26"/>
      <x:c r="D147" s="26"/>
      <x:c r="E147" s="26"/>
      <x:c r="F147" s="26"/>
      <x:c r="G147" s="26"/>
      <x:c r="H147" s="26" t="str">
        <x:v>A 5% uplift in the affected population is materially smaller when expressed as a cohort-equivalent average.</x:v>
      </x:c>
      <x:c r="I147" s="26" t="str">
        <x:v>Never present the affected-population percentage as though every student receives it.</x:v>
      </x:c>
    </x:row>
  </x:sheetData>
  <x:mergeCells>
    <x:mergeCell ref="A1:S1"/>
    <x:mergeCell ref="A2:S2"/>
    <x:mergeCell ref="A4:S4"/>
    <x:mergeCell ref="A17:S17"/>
    <x:mergeCell ref="A23:F24"/>
    <x:mergeCell ref="A27:S27"/>
    <x:mergeCell ref="A43:S43"/>
    <x:mergeCell ref="A90:J90"/>
    <x:mergeCell ref="A91:J91"/>
    <x:mergeCell ref="A94:S94"/>
    <x:mergeCell ref="A105:S105"/>
    <x:mergeCell ref="A121:S121"/>
    <x:mergeCell ref="A137:I137"/>
    <x:mergeCell ref="A103:S104"/>
  </x:mergeCells>
  <x:pageMargins left="0.7" right="0.7" top="0.75" bottom="0.75" header="0.3" footer="0.3"/>
</x:worksheet>
</file>

<file path=xl/worksheets/sheet19.xml><?xml version="1.0" encoding="utf-8"?>
<x:worksheet xmlns:x="http://schemas.openxmlformats.org/spreadsheetml/2006/main">
  <x:sheetFormatPr defaultRowHeight="15"/>
  <x:cols>
    <x:col min="1" max="1" width="28" hidden="0" customWidth="1"/>
    <x:col min="2" max="2" width="34" hidden="0" customWidth="1"/>
    <x:col min="3" max="3" width="18" hidden="0" customWidth="1"/>
    <x:col min="4" max="4" width="18" hidden="0" customWidth="1"/>
    <x:col min="5" max="5" width="18" hidden="0" customWidth="1"/>
    <x:col min="6" max="6" width="28" hidden="0" customWidth="1"/>
    <x:col min="7" max="7" width="16" hidden="0" customWidth="1"/>
    <x:col min="8" max="8" width="28" hidden="0" customWidth="1"/>
    <x:col min="9" max="9" width="24" hidden="0" customWidth="1"/>
    <x:col min="10" max="10" width="30" hidden="0" customWidth="1"/>
    <x:col min="11" max="11" width="22" hidden="0" customWidth="1"/>
    <x:col min="12" max="12" width="32" hidden="0" customWidth="1"/>
  </x:cols>
  <x:sheetData>
    <x:row r="1" ht="30" customHeight="1">
      <x:c r="A1" s="897" t="str">
        <x:v>Stage-Gate Economic Tests</x:v>
      </x:c>
      <x:c r="B1" s="897"/>
      <x:c r="C1" s="897"/>
      <x:c r="D1" s="897"/>
      <x:c r="E1" s="897"/>
      <x:c r="F1" s="897"/>
      <x:c r="G1" s="897"/>
      <x:c r="H1" s="897"/>
      <x:c r="I1" s="897"/>
      <x:c r="J1" s="897"/>
      <x:c r="K1" s="897"/>
      <x:c r="L1" s="897"/>
    </x:row>
    <x:row r="2" ht="28" customHeight="1">
      <x:c r="A2" s="901" t="str">
        <x:v>National rollout requires a portfolio of causal, financial, equity, implementation and harm tests. One improved outcome is insufficient.</x:v>
      </x:c>
      <x:c r="B2" s="901"/>
      <x:c r="C2" s="901"/>
      <x:c r="D2" s="901"/>
      <x:c r="E2" s="901"/>
      <x:c r="F2" s="901"/>
      <x:c r="G2" s="901"/>
      <x:c r="H2" s="901"/>
      <x:c r="I2" s="901"/>
      <x:c r="J2" s="901"/>
      <x:c r="K2" s="901"/>
      <x:c r="L2" s="901"/>
    </x:row>
    <x:row r="4" ht="23" customHeight="1">
      <x:c r="A4" s="905" t="str">
        <x:v>Stage 0 — measurement and decision architecture</x:v>
      </x:c>
      <x:c r="B4" s="905"/>
      <x:c r="C4" s="905"/>
      <x:c r="D4" s="905"/>
      <x:c r="E4" s="905"/>
      <x:c r="F4" s="905"/>
      <x:c r="G4" s="905"/>
      <x:c r="H4" s="905"/>
      <x:c r="I4" s="905"/>
      <x:c r="J4" s="905"/>
      <x:c r="K4" s="905"/>
      <x:c r="L4" s="905"/>
    </x:row>
    <x:row r="5" ht="30" customHeight="1">
      <x:c r="A5" s="909" t="str">
        <x:v>Test</x:v>
      </x:c>
      <x:c r="B5" s="909" t="str">
        <x:v>Required Stage 0 output</x:v>
      </x:c>
      <x:c r="C5" s="909" t="str">
        <x:v>Threshold / decision rule</x:v>
      </x:c>
      <x:c r="D5" s="909" t="str">
        <x:v>Evidence owner</x:v>
      </x:c>
      <x:c r="E5" s="909" t="str">
        <x:v>Status</x:v>
      </x:c>
      <x:c r="F5" s="909" t="str">
        <x:v>Failure response</x:v>
      </x:c>
      <x:c r="G5" s="909" t="str">
        <x:v>Source ID</x:v>
      </x:c>
    </x:row>
    <x:row r="6">
      <x:c r="A6" s="26" t="str">
        <x:v>Outcome ladder</x:v>
      </x:c>
      <x:c r="B6" s="26" t="str">
        <x:v>Pre-registered definitions from attendance through earnings and fiscal effects</x:v>
      </x:c>
      <x:c r="C6" s="26" t="str">
        <x:v>Every outcome has baseline, counterfactual, timing, attribution and overlap treatment</x:v>
      </x:c>
      <x:c r="D6" s="26" t="str">
        <x:v>Independent evaluator</x:v>
      </x:c>
      <x:c r="E6" s="26" t="str">
        <x:v>OPEN</x:v>
      </x:c>
      <x:c r="F6" s="26" t="str">
        <x:v>Do not commence pilot until measurable</x:v>
      </x:c>
      <x:c r="G6" s="26" t="str">
        <x:v>S05;A18</x:v>
      </x:c>
    </x:row>
    <x:row r="7">
      <x:c r="A7" s="26" t="str">
        <x:v>Linked-data feasibility</x:v>
      </x:c>
      <x:c r="B7" s="26" t="str">
        <x:v>Education, tax, benefit, justice and student-loan linkage design</x:v>
      </x:c>
      <x:c r="C7" s="26" t="str">
        <x:v>Lawful, proportionate and technically feasible</x:v>
      </x:c>
      <x:c r="D7" s="26" t="str">
        <x:v>Ministry / IR / MSD / Stats NZ</x:v>
      </x:c>
      <x:c r="E7" s="26" t="str">
        <x:v>OPEN</x:v>
      </x:c>
      <x:c r="F7" s="26" t="str">
        <x:v>Redesign data scope or stop</x:v>
      </x:c>
      <x:c r="G7" s="26" t="str">
        <x:v>S15;S24;A15</x:v>
      </x:c>
    </x:row>
    <x:row r="8">
      <x:c r="A8" s="26" t="str">
        <x:v>Age-earnings model</x:v>
      </x:c>
      <x:c r="B8" s="26" t="str">
        <x:v>Validated NZ age-earnings and tax model</x:v>
      </x:c>
      <x:c r="C8" s="26" t="str">
        <x:v>Independent economic and actuarial sign-off</x:v>
      </x:c>
      <x:c r="D8" s="26" t="str">
        <x:v>Treasury / independent economist</x:v>
      </x:c>
      <x:c r="E8" s="26" t="str">
        <x:v>OPEN</x:v>
      </x:c>
      <x:c r="F8" s="26" t="str">
        <x:v>Use unmonetised outcomes only</x:v>
      </x:c>
      <x:c r="G8" s="26" t="str">
        <x:v>S34;S42;S43</x:v>
      </x:c>
    </x:row>
    <x:row r="9">
      <x:c r="A9" s="26" t="str">
        <x:v>Universal / targeted design</x:v>
      </x:c>
      <x:c r="B9" s="26" t="str">
        <x:v>Separate service specification and unit costs</x:v>
      </x:c>
      <x:c r="C9" s="26" t="str">
        <x:v>No assumption of uniform intensity</x:v>
      </x:c>
      <x:c r="D9" s="26" t="str">
        <x:v>Programme design lead</x:v>
      </x:c>
      <x:c r="E9" s="26" t="str">
        <x:v>OPEN</x:v>
      </x:c>
      <x:c r="F9" s="26" t="str">
        <x:v>Redesign delivery model</x:v>
      </x:c>
      <x:c r="G9" s="26" t="str">
        <x:v>A20</x:v>
      </x:c>
    </x:row>
    <x:row r="10">
      <x:c r="A10" s="26" t="str">
        <x:v>Industry safeguards</x:v>
      </x:c>
      <x:c r="B10" s="26" t="str">
        <x:v>Pooled funding and independent labour-market governance</x:v>
      </x:c>
      <x:c r="C10" s="26" t="str">
        <x:v>No employer control of individual careers or national supply</x:v>
      </x:c>
      <x:c r="D10" s="26" t="str">
        <x:v>Governance / labour representatives</x:v>
      </x:c>
      <x:c r="E10" s="26" t="str">
        <x:v>OPEN</x:v>
      </x:c>
      <x:c r="F10" s="26" t="str">
        <x:v>Exclude contribution or redesign</x:v>
      </x:c>
      <x:c r="G10" s="26" t="str">
        <x:v>A21</x:v>
      </x:c>
    </x:row>
    <x:row r="11">
      <x:c r="A11" s="26" t="str">
        <x:v>Stop/go thresholds</x:v>
      </x:c>
      <x:c r="B11" s="26" t="str">
        <x:v>Signed decision rules for cost, BCR, equity, burden and harm</x:v>
      </x:c>
      <x:c r="C11" s="26" t="str">
        <x:v>Thresholds approved before pilot data are seen</x:v>
      </x:c>
      <x:c r="D11" s="26" t="str">
        <x:v>Treasury / evaluator / governance</x:v>
      </x:c>
      <x:c r="E11" s="26" t="str">
        <x:v>OPEN</x:v>
      </x:c>
      <x:c r="F11" s="26" t="str">
        <x:v>No discretionary post-hoc threshold changes</x:v>
      </x:c>
      <x:c r="G11" s="26" t="str">
        <x:v>A22</x:v>
      </x:c>
    </x:row>
    <x:row r="14" ht="23" customHeight="1">
      <x:c r="A14" s="905" t="str">
        <x:v>Pilot — provisional stop / go scorecard</x:v>
      </x:c>
      <x:c r="B14" s="905"/>
      <x:c r="C14" s="905"/>
      <x:c r="D14" s="905"/>
      <x:c r="E14" s="905"/>
      <x:c r="F14" s="905"/>
      <x:c r="G14" s="905"/>
      <x:c r="H14" s="905"/>
      <x:c r="I14" s="905"/>
      <x:c r="J14" s="905"/>
      <x:c r="K14" s="905"/>
      <x:c r="L14" s="905"/>
    </x:row>
    <x:row r="15" ht="30" customHeight="1">
      <x:c r="A15" s="909" t="str">
        <x:v>Pilot test</x:v>
      </x:c>
      <x:c r="B15" s="909" t="str">
        <x:v>Measured outcome</x:v>
      </x:c>
      <x:c r="C15" s="909" t="str">
        <x:v>Modelled / observed value</x:v>
      </x:c>
      <x:c r="D15" s="909" t="str">
        <x:v>Provisional threshold</x:v>
      </x:c>
      <x:c r="E15" s="909" t="str">
        <x:v>Unit</x:v>
      </x:c>
      <x:c r="F15" s="909" t="str">
        <x:v>Go rule</x:v>
      </x:c>
      <x:c r="G15" s="909" t="str">
        <x:v>Current status</x:v>
      </x:c>
      <x:c r="H15" s="909" t="str">
        <x:v>Evidence source</x:v>
      </x:c>
      <x:c r="I15" s="909" t="str">
        <x:v>Equity test</x:v>
      </x:c>
      <x:c r="J15" s="909" t="str">
        <x:v>Implementation / harm test</x:v>
      </x:c>
      <x:c r="K15" s="909" t="str">
        <x:v>Decision owner</x:v>
      </x:c>
      <x:c r="L15" s="909" t="str">
        <x:v>Interpretation</x:v>
      </x:c>
    </x:row>
    <x:row r="16">
      <x:c r="A16" s="26" t="str">
        <x:v>Regular attendance</x:v>
      </x:c>
      <x:c r="B16" s="26" t="str">
        <x:v>Additional regular attendees</x:v>
      </x:c>
      <x:c r="C16" s="26"/>
      <x:c r="D16" s="167" t="n">
        <x:f>Assumptions!$E$181</x:f>
        <x:v>25000</x:v>
      </x:c>
      <x:c r="E16" s="26" t="str">
        <x:v>NZD/additional attendee</x:v>
      </x:c>
      <x:c r="F16" s="26" t="str">
        <x:v>Cost at or below threshold</x:v>
      </x:c>
      <x:c r="G16" s="979" t="str">
        <x:v>NOT TESTED</x:v>
      </x:c>
      <x:c r="H16" s="26" t="str">
        <x:v>Daily / term attendance data</x:v>
      </x:c>
      <x:c r="I16" s="26" t="str">
        <x:v>Priority-group effect ≥ threshold ratio</x:v>
      </x:c>
      <x:c r="J16" s="26" t="str">
        <x:v>No attendance gaming</x:v>
      </x:c>
      <x:c r="K16" s="26" t="str">
        <x:v>Independent evaluator</x:v>
      </x:c>
      <x:c r="L16" s="26" t="str">
        <x:v>Causal effect required</x:v>
      </x:c>
    </x:row>
    <x:row r="17">
      <x:c r="A17" s="26" t="str">
        <x:v>Qualification attainment</x:v>
      </x:c>
      <x:c r="B17" s="26" t="str">
        <x:v>Additional Level 2 / Level 3 qualifications</x:v>
      </x:c>
      <x:c r="C17" s="26"/>
      <x:c r="D17" s="167" t="n">
        <x:f>Assumptions!$E$182</x:f>
        <x:v>75000</x:v>
      </x:c>
      <x:c r="E17" s="26" t="str">
        <x:v>NZD/additional qualification</x:v>
      </x:c>
      <x:c r="F17" s="26" t="str">
        <x:v>Cost at or below threshold</x:v>
      </x:c>
      <x:c r="G17" s="979" t="str">
        <x:v>NOT TESTED</x:v>
      </x:c>
      <x:c r="H17" s="26" t="str">
        <x:v>NZQA / ENROL linked data</x:v>
      </x:c>
      <x:c r="I17" s="26" t="str">
        <x:v>No widening of qualification gaps</x:v>
      </x:c>
      <x:c r="J17" s="26" t="str">
        <x:v>No credential dilution</x:v>
      </x:c>
      <x:c r="K17" s="26" t="str">
        <x:v>Independent evaluator</x:v>
      </x:c>
      <x:c r="L17" s="26" t="str">
        <x:v>Qualification quality matters</x:v>
      </x:c>
    </x:row>
    <x:row r="18">
      <x:c r="A18" s="26" t="str">
        <x:v>Successful transition</x:v>
      </x:c>
      <x:c r="B18" s="26" t="str">
        <x:v>Additional tertiary, vocational, apprenticeship or sustained-employment transitions</x:v>
      </x:c>
      <x:c r="C18" s="26"/>
      <x:c r="D18" s="167" t="n">
        <x:f>Assumptions!$E$183</x:f>
        <x:v>50000</x:v>
      </x:c>
      <x:c r="E18" s="26" t="str">
        <x:v>NZD/additional transition</x:v>
      </x:c>
      <x:c r="F18" s="26" t="str">
        <x:v>Cost at or below threshold</x:v>
      </x:c>
      <x:c r="G18" s="979" t="str">
        <x:v>NOT TESTED</x:v>
      </x:c>
      <x:c r="H18" s="26" t="str">
        <x:v>Education and employment linkage</x:v>
      </x:c>
      <x:c r="I18" s="26" t="str">
        <x:v>Priority-group effect ≥ threshold ratio</x:v>
      </x:c>
      <x:c r="J18" s="26" t="str">
        <x:v>Provider capacity acceptable</x:v>
      </x:c>
      <x:c r="K18" s="26" t="str">
        <x:v>Independent evaluator</x:v>
      </x:c>
      <x:c r="L18" s="26" t="str">
        <x:v>Entry alone is not completion</x:v>
      </x:c>
    </x:row>
    <x:row r="19">
      <x:c r="A19" s="26" t="str">
        <x:v>Completion</x:v>
      </x:c>
      <x:c r="B19" s="26" t="str">
        <x:v>Additional apprenticeship or tertiary completions</x:v>
      </x:c>
      <x:c r="C19" s="26"/>
      <x:c r="D19" s="167" t="n">
        <x:f>Assumptions!$E$184</x:f>
        <x:v>100000</x:v>
      </x:c>
      <x:c r="E19" s="26" t="str">
        <x:v>NZD/additional completion</x:v>
      </x:c>
      <x:c r="F19" s="26" t="str">
        <x:v>Cost at or below threshold</x:v>
      </x:c>
      <x:c r="G19" s="979" t="str">
        <x:v>NOT TESTED</x:v>
      </x:c>
      <x:c r="H19" s="26" t="str">
        <x:v>Provider / workplace completion data</x:v>
      </x:c>
      <x:c r="I19" s="26" t="str">
        <x:v>No widening of completion gaps</x:v>
      </x:c>
      <x:c r="J19" s="26" t="str">
        <x:v>No provider gaming</x:v>
      </x:c>
      <x:c r="K19" s="26" t="str">
        <x:v>Independent evaluator</x:v>
      </x:c>
      <x:c r="L19" s="26" t="str">
        <x:v>Completion gate</x:v>
      </x:c>
    </x:row>
    <x:row r="20">
      <x:c r="A20" s="26" t="str">
        <x:v>Lifetime social return</x:v>
      </x:c>
      <x:c r="B20" s="26" t="str">
        <x:v>Projected lifetime social BCR</x:v>
      </x:c>
      <x:c r="C20" s="26"/>
      <x:c r="D20" s="963" t="n">
        <x:f>Assumptions!$E$185</x:f>
        <x:v>1</x:v>
      </x:c>
      <x:c r="E20" s="26" t="str">
        <x:v>x</x:v>
      </x:c>
      <x:c r="F20" s="26" t="str">
        <x:v>Central BCR ≥ threshold and downside case disclosed</x:v>
      </x:c>
      <x:c r="G20" s="979" t="str">
        <x:v>NOT TESTED</x:v>
      </x:c>
      <x:c r="H20" s="26" t="str">
        <x:v>Human Capital &amp; Earnings</x:v>
      </x:c>
      <x:c r="I20" s="26" t="str">
        <x:v>Distribution reported</x:v>
      </x:c>
      <x:c r="J20" s="26" t="str">
        <x:v>No material unpriced harm</x:v>
      </x:c>
      <x:c r="K20" s="26" t="str">
        <x:v>Treasury / Cabinet</x:v>
      </x:c>
      <x:c r="L20" s="26" t="str">
        <x:v>One outcome is insufficient</x:v>
      </x:c>
    </x:row>
    <x:row r="21">
      <x:c r="A21" s="26" t="str">
        <x:v>Crown fiscal coverage</x:v>
      </x:c>
      <x:c r="B21" s="26" t="str">
        <x:v>Projected Crown fiscal coverage</x:v>
      </x:c>
      <x:c r="C21" s="26"/>
      <x:c r="D21" s="963" t="n">
        <x:f>Assumptions!$E$186</x:f>
        <x:v>0.35</x:v>
      </x:c>
      <x:c r="E21" s="26" t="str">
        <x:v>x</x:v>
      </x:c>
      <x:c r="F21" s="26" t="str">
        <x:v>At or above threshold, or explicit Cabinet judgement</x:v>
      </x:c>
      <x:c r="G21" s="979" t="str">
        <x:v>NOT TESTED</x:v>
      </x:c>
      <x:c r="H21" s="26" t="str">
        <x:v>Human Capital &amp; Earnings</x:v>
      </x:c>
      <x:c r="I21" s="26" t="str">
        <x:v>Fiscal incidence reported</x:v>
      </x:c>
      <x:c r="J21" s="26" t="str">
        <x:v>No hidden contingent liability</x:v>
      </x:c>
      <x:c r="K21" s="26" t="str">
        <x:v>Treasury / Cabinet</x:v>
      </x:c>
      <x:c r="L21" s="26" t="str">
        <x:v>Social return may turn positive first</x:v>
      </x:c>
    </x:row>
    <x:row r="22">
      <x:c r="A22" s="26" t="str">
        <x:v>School workload</x:v>
      </x:c>
      <x:c r="B22" s="26" t="str">
        <x:v>Hours per participant per year</x:v>
      </x:c>
      <x:c r="C22" s="26"/>
      <x:c r="D22" s="932" t="n">
        <x:f>Assumptions!$E$188</x:f>
        <x:v>6</x:v>
      </x:c>
      <x:c r="E22" s="26" t="str">
        <x:v>hours/student/year</x:v>
      </x:c>
      <x:c r="F22" s="26" t="str">
        <x:v>At or below threshold</x:v>
      </x:c>
      <x:c r="G22" s="979" t="str">
        <x:v>NOT TESTED</x:v>
      </x:c>
      <x:c r="H22" s="26" t="str">
        <x:v>Time-and-motion study</x:v>
      </x:c>
      <x:c r="I22" s="26" t="str">
        <x:v>Burden by school type</x:v>
      </x:c>
      <x:c r="J22" s="26" t="str">
        <x:v>No material teaching displacement</x:v>
      </x:c>
      <x:c r="K22" s="26" t="str">
        <x:v>Ministry / schools</x:v>
      </x:c>
      <x:c r="L22" s="26" t="str">
        <x:v>Implementation gate</x:v>
      </x:c>
    </x:row>
    <x:row r="23">
      <x:c r="A23" s="26" t="str">
        <x:v>Gaming / false claims</x:v>
      </x:c>
      <x:c r="B23" s="26" t="str">
        <x:v>Verified false-claim rate</x:v>
      </x:c>
      <x:c r="C23" s="26"/>
      <x:c r="D23" s="276" t="n">
        <x:f>Assumptions!$E$189</x:f>
        <x:v>0.01</x:v>
      </x:c>
      <x:c r="E23" s="26" t="str">
        <x:v>%</x:v>
      </x:c>
      <x:c r="F23" s="26" t="str">
        <x:v>At or below threshold</x:v>
      </x:c>
      <x:c r="G23" s="979" t="str">
        <x:v>NOT TESTED</x:v>
      </x:c>
      <x:c r="H23" s="26" t="str">
        <x:v>Audit and verification data</x:v>
      </x:c>
      <x:c r="I23" s="26" t="str">
        <x:v>No group-specific bias</x:v>
      </x:c>
      <x:c r="J23" s="26" t="str">
        <x:v>No systematic exploitation</x:v>
      </x:c>
      <x:c r="K23" s="26" t="str">
        <x:v>Governance / audit</x:v>
      </x:c>
      <x:c r="L23" s="26" t="str">
        <x:v>Harm gate</x:v>
      </x:c>
    </x:row>
    <x:row r="24">
      <x:c r="A24" s="26" t="str">
        <x:v>Labour-market effects</x:v>
      </x:c>
      <x:c r="B24" s="26" t="str">
        <x:v>Wages, vacancy duration, displacement and occupation supply</x:v>
      </x:c>
      <x:c r="C24" s="26"/>
      <x:c r="D24" s="26" t="n">
        <x:v>0</x:v>
      </x:c>
      <x:c r="E24" s="26" t="str">
        <x:v>material adverse effect</x:v>
      </x:c>
      <x:c r="F24" s="26" t="str">
        <x:v>No credible adverse labour-market effect</x:v>
      </x:c>
      <x:c r="G24" s="979" t="str">
        <x:v>NOT TESTED</x:v>
      </x:c>
      <x:c r="H24" s="26" t="str">
        <x:v>MBIE / Stats NZ / worker representation</x:v>
      </x:c>
      <x:c r="I24" s="26" t="str">
        <x:v>Regional and group effects</x:v>
      </x:c>
      <x:c r="J24" s="26" t="str">
        <x:v>No wage suppression or oversupply</x:v>
      </x:c>
      <x:c r="K24" s="26" t="str">
        <x:v>Independent labour-market panel</x:v>
      </x:c>
      <x:c r="L24" s="26" t="str">
        <x:v>General-equilibrium gate</x:v>
      </x:c>
    </x:row>
    <x:row r="27" ht="23" customHeight="1">
      <x:c r="A27" s="905" t="str">
        <x:v>National rollout decision rule</x:v>
      </x:c>
      <x:c r="B27" s="905"/>
      <x:c r="C27" s="905"/>
      <x:c r="D27" s="905"/>
      <x:c r="E27" s="905"/>
      <x:c r="F27" s="905"/>
      <x:c r="G27" s="905"/>
      <x:c r="H27" s="905"/>
      <x:c r="I27" s="905"/>
      <x:c r="J27" s="905"/>
      <x:c r="K27" s="905"/>
      <x:c r="L27" s="905"/>
    </x:row>
    <x:row r="28">
      <x:c r="A28" s="982" t="str">
        <x:v>GO only if the independently evaluated pilot demonstrates a coherent portfolio of effects: causal attendance or engagement improvement, qualification progression, successful transition and retention, credible completion and employment effects, genuine student-loan displacement, acceptable cost per additional outcome, projected lifetime social value, explicit Crown fiscal coverage, equitable effects, manageable school workload, and no material gaming or labour-market harm. A positive attendance result alone, a single qualification result, or an illustrative BCR is not sufficient.</x:v>
      </x:c>
      <x:c r="B28" s="982"/>
      <x:c r="C28" s="982"/>
      <x:c r="D28" s="982"/>
      <x:c r="E28" s="982"/>
      <x:c r="F28" s="982"/>
      <x:c r="G28" s="982"/>
      <x:c r="H28" s="982"/>
      <x:c r="I28" s="982"/>
      <x:c r="J28" s="982"/>
      <x:c r="K28" s="982"/>
      <x:c r="L28" s="982"/>
    </x:row>
    <x:row r="29">
      <x:c r="A29" s="982"/>
      <x:c r="B29" s="982"/>
      <x:c r="C29" s="982"/>
      <x:c r="D29" s="982"/>
      <x:c r="E29" s="982"/>
      <x:c r="F29" s="982"/>
      <x:c r="G29" s="982"/>
      <x:c r="H29" s="982"/>
      <x:c r="I29" s="982"/>
      <x:c r="J29" s="982"/>
      <x:c r="K29" s="982"/>
      <x:c r="L29" s="982"/>
    </x:row>
    <x:row r="30">
      <x:c r="A30" s="982"/>
      <x:c r="B30" s="982"/>
      <x:c r="C30" s="982"/>
      <x:c r="D30" s="982"/>
      <x:c r="E30" s="982"/>
      <x:c r="F30" s="982"/>
      <x:c r="G30" s="982"/>
      <x:c r="H30" s="982"/>
      <x:c r="I30" s="982"/>
      <x:c r="J30" s="982"/>
      <x:c r="K30" s="982"/>
      <x:c r="L30" s="982"/>
    </x:row>
    <x:row r="31">
      <x:c r="A31" s="982"/>
      <x:c r="B31" s="982"/>
      <x:c r="C31" s="982"/>
      <x:c r="D31" s="982"/>
      <x:c r="E31" s="982"/>
      <x:c r="F31" s="982"/>
      <x:c r="G31" s="982"/>
      <x:c r="H31" s="982"/>
      <x:c r="I31" s="982"/>
      <x:c r="J31" s="982"/>
      <x:c r="K31" s="982"/>
      <x:c r="L31" s="982"/>
    </x:row>
    <x:row r="32">
      <x:c r="A32" s="982"/>
      <x:c r="B32" s="982"/>
      <x:c r="C32" s="982"/>
      <x:c r="D32" s="982"/>
      <x:c r="E32" s="982"/>
      <x:c r="F32" s="982"/>
      <x:c r="G32" s="982"/>
      <x:c r="H32" s="982"/>
      <x:c r="I32" s="982"/>
      <x:c r="J32" s="982"/>
      <x:c r="K32" s="982"/>
      <x:c r="L32" s="982"/>
    </x:row>
  </x:sheetData>
  <x:mergeCells>
    <x:mergeCell ref="A1:L1"/>
    <x:mergeCell ref="A2:L2"/>
    <x:mergeCell ref="A4:L4"/>
    <x:mergeCell ref="A14:L14"/>
    <x:mergeCell ref="A27:L27"/>
    <x:mergeCell ref="A28:L32"/>
  </x:mergeCells>
  <x:pageMargins left="0.7" right="0.7" top="0.75" bottom="0.75" header="0.3" footer="0.3"/>
</x:worksheet>
</file>

<file path=xl/worksheets/sheet20.xml><?xml version="1.0" encoding="utf-8"?>
<x:worksheet xmlns:x="http://schemas.openxmlformats.org/spreadsheetml/2006/main">
  <x:sheetViews>
    <x:sheetView showGridLines="0" workbookViewId="0"/>
  </x:sheetViews>
  <x:sheetFormatPr defaultRowHeight="15"/>
  <x:cols>
    <x:col min="1" max="1" width="35" hidden="0" customWidth="1"/>
    <x:col min="2" max="2" width="17" hidden="0" customWidth="1"/>
    <x:col min="3" max="3" width="17" hidden="0" customWidth="1"/>
    <x:col min="4" max="4" width="18" hidden="0" customWidth="1"/>
    <x:col min="5" max="5" width="18" hidden="0" customWidth="1"/>
    <x:col min="6" max="6" width="18" hidden="0" customWidth="1"/>
    <x:col min="7" max="7" width="19" hidden="0" customWidth="1"/>
    <x:col min="8" max="8" width="19" hidden="0" customWidth="1"/>
    <x:col min="9" max="9" width="28" hidden="0" customWidth="1"/>
    <x:col min="10" max="10" width="42" hidden="0" customWidth="1"/>
  </x:cols>
  <x:sheetData>
    <x:row r="1">
      <x:c r="A1" s="1095" t="str">
        <x:v>Earnings Uplift Bridge — Affected Population and Cohort-Equivalent Measures</x:v>
      </x:c>
      <x:c r="B1" s="1095"/>
      <x:c r="C1" s="1095"/>
      <x:c r="D1" s="1095"/>
      <x:c r="E1" s="1095"/>
      <x:c r="F1" s="1095"/>
      <x:c r="G1" s="1095"/>
      <x:c r="H1" s="1095"/>
      <x:c r="I1" s="1095"/>
    </x:row>
    <x:row r="2">
      <x:c r="A2" s="1093" t="str">
        <x:v>The model applies an earnings uplift only to an effective affected employed population. Equivalent averages show how the same modelled value would look if spread across broader population denominators.</x:v>
      </x:c>
      <x:c r="B2" s="1093"/>
      <x:c r="C2" s="1093"/>
      <x:c r="D2" s="1093"/>
      <x:c r="E2" s="1093"/>
      <x:c r="F2" s="1093"/>
      <x:c r="G2" s="1093"/>
      <x:c r="H2" s="1093"/>
      <x:c r="I2" s="1093"/>
    </x:row>
    <x:row r="3">
      <x:c r="A3" s="26"/>
      <x:c r="B3" s="26"/>
      <x:c r="C3" s="26"/>
      <x:c r="D3" s="26"/>
      <x:c r="E3" s="26"/>
      <x:c r="F3" s="26"/>
      <x:c r="G3" s="26"/>
      <x:c r="H3" s="26"/>
      <x:c r="I3" s="26"/>
    </x:row>
    <x:row r="4">
      <x:c r="A4" s="1065" t="str">
        <x:v>Population reconciliation</x:v>
      </x:c>
      <x:c r="B4" s="1065" t="str">
        <x:v>Central value</x:v>
      </x:c>
      <x:c r="C4" s="1065" t="str">
        <x:v>Unit</x:v>
      </x:c>
      <x:c r="D4" s="1065" t="str">
        <x:v>Explanation</x:v>
      </x:c>
      <x:c r="E4" s="26"/>
      <x:c r="F4" s="26"/>
      <x:c r="G4" s="26"/>
      <x:c r="H4" s="26"/>
      <x:c r="I4" s="26"/>
    </x:row>
    <x:row r="5">
      <x:c r="A5" s="26" t="str">
        <x:v>Annual eligible cohort</x:v>
      </x:c>
      <x:c r="B5" s="1069" t="n">
        <x:f>'Human Capital &amp; Earnings'!$B$29</x:f>
        <x:v>62348.6</x:v>
      </x:c>
      <x:c r="C5" s="26" t="str">
        <x:v>people</x:v>
      </x:c>
      <x:c r="D5" s="26" t="str">
        <x:v>One entrant/exit cohort aligned with one mature annual programme cost.</x:v>
      </x:c>
      <x:c r="E5" s="26"/>
      <x:c r="F5" s="26"/>
      <x:c r="G5" s="26"/>
      <x:c r="H5" s="26"/>
      <x:c r="I5" s="26"/>
    </x:row>
    <x:row r="6">
      <x:c r="A6" s="26" t="str">
        <x:v>Less: separately valued sustained-NEET cases</x:v>
      </x:c>
      <x:c r="B6" s="1069" t="n">
        <x:f>'Human Capital &amp; Earnings'!$B$30</x:f>
        <x:v>1402.8434999999997</x:v>
      </x:c>
      <x:c r="C6" s="26" t="str">
        <x:v>people</x:v>
      </x:c>
      <x:c r="D6" s="26" t="str">
        <x:v>Removed to prevent overlap with the separate high-risk benefit stream.</x:v>
      </x:c>
      <x:c r="E6" s="26"/>
      <x:c r="F6" s="26"/>
      <x:c r="G6" s="26"/>
      <x:c r="H6" s="26"/>
      <x:c r="I6" s="26"/>
    </x:row>
    <x:row r="7">
      <x:c r="A7" s="26" t="str">
        <x:v>Broad non-overlap cohort</x:v>
      </x:c>
      <x:c r="B7" s="1069" t="n">
        <x:f>'Human Capital &amp; Earnings'!$B$31</x:f>
        <x:v>60945.756499999996</x:v>
      </x:c>
      <x:c r="C7" s="26" t="str">
        <x:v>people</x:v>
      </x:c>
      <x:c r="D7" s="26" t="str">
        <x:v>Annual eligible cohort less sustained-NEET cases.</x:v>
      </x:c>
      <x:c r="E7" s="26"/>
      <x:c r="F7" s="26"/>
      <x:c r="G7" s="26"/>
      <x:c r="H7" s="26"/>
      <x:c r="I7" s="26"/>
    </x:row>
    <x:row r="8">
      <x:c r="A8" s="26" t="str">
        <x:v>Affected share</x:v>
      </x:c>
      <x:c r="B8" s="1096" t="n">
        <x:f>'Human Capital &amp; Earnings'!$B$32</x:f>
        <x:v>0.5</x:v>
      </x:c>
      <x:c r="C8" s="26" t="str">
        <x:v>%</x:v>
      </x:c>
      <x:c r="D8" s="26" t="str">
        <x:v>Share of the broad cohort potentially receiving an earnings effect.</x:v>
      </x:c>
      <x:c r="E8" s="26"/>
      <x:c r="F8" s="26"/>
      <x:c r="G8" s="26"/>
      <x:c r="H8" s="26"/>
      <x:c r="I8" s="26"/>
    </x:row>
    <x:row r="9">
      <x:c r="A9" s="26" t="str">
        <x:v>Domestic retention</x:v>
      </x:c>
      <x:c r="B9" s="1096" t="n">
        <x:f>'Human Capital &amp; Earnings'!$B$33</x:f>
        <x:v>0.9</x:v>
      </x:c>
      <x:c r="C9" s="26" t="str">
        <x:v>%</x:v>
      </x:c>
      <x:c r="D9" s="26" t="str">
        <x:v>Share of the effect retained in New Zealand.</x:v>
      </x:c>
      <x:c r="E9" s="26"/>
      <x:c r="F9" s="26"/>
      <x:c r="G9" s="26"/>
      <x:c r="H9" s="26"/>
      <x:c r="I9" s="26"/>
    </x:row>
    <x:row r="10">
      <x:c r="A10" s="26" t="str">
        <x:v>Programme attribution</x:v>
      </x:c>
      <x:c r="B10" s="1096" t="n">
        <x:f>'Human Capital &amp; Earnings'!$B$34</x:f>
        <x:v>0.6</x:v>
      </x:c>
      <x:c r="C10" s="26" t="str">
        <x:v>%</x:v>
      </x:c>
      <x:c r="D10" s="26" t="str">
        <x:v>Share causally attributable to the programme.</x:v>
      </x:c>
      <x:c r="E10" s="26"/>
      <x:c r="F10" s="26"/>
      <x:c r="G10" s="26"/>
      <x:c r="H10" s="26"/>
      <x:c r="I10" s="26"/>
    </x:row>
    <x:row r="11">
      <x:c r="A11" s="26" t="str">
        <x:v>Persistence</x:v>
      </x:c>
      <x:c r="B11" s="1096" t="n">
        <x:f>'Human Capital &amp; Earnings'!$B$35</x:f>
        <x:v>0.8</x:v>
      </x:c>
      <x:c r="C11" s="26" t="str">
        <x:v>%</x:v>
      </x:c>
      <x:c r="D11" s="26" t="str">
        <x:v>Long-run share remaining after fade-out.</x:v>
      </x:c>
      <x:c r="E11" s="26"/>
      <x:c r="F11" s="26"/>
      <x:c r="G11" s="26"/>
      <x:c r="H11" s="26"/>
      <x:c r="I11" s="26"/>
    </x:row>
    <x:row r="12">
      <x:c r="A12" s="26" t="str">
        <x:v>Deadweight retained</x:v>
      </x:c>
      <x:c r="B12" s="1096" t="n">
        <x:f>1-'Human Capital &amp; Earnings'!$B$36</x:f>
        <x:v>0.85</x:v>
      </x:c>
      <x:c r="C12" s="26" t="str">
        <x:v>%</x:v>
      </x:c>
      <x:c r="D12" s="26" t="str">
        <x:v>One minus outcomes that would have occurred anyway.</x:v>
      </x:c>
      <x:c r="E12" s="26"/>
      <x:c r="F12" s="26"/>
      <x:c r="G12" s="26"/>
      <x:c r="H12" s="26"/>
      <x:c r="I12" s="26"/>
    </x:row>
    <x:row r="13">
      <x:c r="A13" s="26" t="str">
        <x:v>Worker displacement retained</x:v>
      </x:c>
      <x:c r="B13" s="1096" t="n">
        <x:f>1-'Human Capital &amp; Earnings'!$B$37</x:f>
        <x:v>0.95</x:v>
      </x:c>
      <x:c r="C13" s="26" t="str">
        <x:v>%</x:v>
      </x:c>
      <x:c r="D13" s="26" t="str">
        <x:v>One minus substitution of other workers.</x:v>
      </x:c>
      <x:c r="E13" s="26"/>
      <x:c r="F13" s="26"/>
      <x:c r="G13" s="26"/>
      <x:c r="H13" s="26"/>
      <x:c r="I13" s="26"/>
    </x:row>
    <x:row r="14">
      <x:c r="A14" s="26" t="str">
        <x:v>General-equilibrium retention</x:v>
      </x:c>
      <x:c r="B14" s="1096" t="n">
        <x:f>1-'Human Capital &amp; Earnings'!$B$38</x:f>
        <x:v>0.95</x:v>
      </x:c>
      <x:c r="C14" s="26" t="str">
        <x:v>%</x:v>
      </x:c>
      <x:c r="D14" s="26" t="str">
        <x:v>One minus wider wage, supply and capacity effects.</x:v>
      </x:c>
      <x:c r="E14" s="26"/>
      <x:c r="F14" s="26"/>
      <x:c r="G14" s="26"/>
      <x:c r="H14" s="26"/>
      <x:c r="I14" s="26"/>
    </x:row>
    <x:row r="15">
      <x:c r="A15" s="26" t="str">
        <x:v>Employment probability</x:v>
      </x:c>
      <x:c r="B15" s="1096" t="n">
        <x:f>'Human Capital &amp; Earnings'!$B$40</x:f>
        <x:v>0.85</x:v>
      </x:c>
      <x:c r="C15" s="26" t="str">
        <x:v>%</x:v>
      </x:c>
      <x:c r="D15" s="26" t="str">
        <x:v>Probability of paid employment.</x:v>
      </x:c>
      <x:c r="E15" s="26"/>
      <x:c r="F15" s="26"/>
      <x:c r="G15" s="26"/>
      <x:c r="H15" s="26"/>
      <x:c r="I15" s="26"/>
    </x:row>
    <x:row r="16">
      <x:c r="A16" s="26"/>
      <x:c r="B16" s="26"/>
      <x:c r="C16" s="26"/>
      <x:c r="D16" s="26"/>
      <x:c r="E16" s="26"/>
      <x:c r="F16" s="26"/>
      <x:c r="G16" s="26"/>
      <x:c r="H16" s="26"/>
      <x:c r="I16" s="26"/>
    </x:row>
    <x:row r="17">
      <x:c r="A17" s="1065" t="str">
        <x:v>Reconciled population</x:v>
      </x:c>
      <x:c r="B17" s="1065" t="str">
        <x:v>Value</x:v>
      </x:c>
      <x:c r="C17" s="1065" t="str">
        <x:v>Unit</x:v>
      </x:c>
      <x:c r="D17" s="1065" t="str">
        <x:v>Check</x:v>
      </x:c>
      <x:c r="E17" s="26"/>
      <x:c r="F17" s="26"/>
      <x:c r="G17" s="26"/>
      <x:c r="H17" s="26"/>
      <x:c r="I17" s="26"/>
    </x:row>
    <x:row r="18">
      <x:c r="A18" s="26" t="str">
        <x:v>Adjusted affected population before employment</x:v>
      </x:c>
      <x:c r="B18" s="1069" t="n">
        <x:f>'Human Capital &amp; Earnings'!$B$39</x:f>
        <x:v>10098.650906293498</x:v>
      </x:c>
      <x:c r="C18" s="26" t="str">
        <x:v>people</x:v>
      </x:c>
      <x:c r="D18" s="26" t="str">
        <x:v>After all non-employment adjustments.</x:v>
      </x:c>
      <x:c r="E18" s="26"/>
      <x:c r="F18" s="26"/>
      <x:c r="G18" s="26"/>
      <x:c r="H18" s="26"/>
      <x:c r="I18" s="26"/>
    </x:row>
    <x:row r="19">
      <x:c r="A19" s="26" t="str">
        <x:v>Effective affected employed population</x:v>
      </x:c>
      <x:c r="B19" s="1069" t="n">
        <x:f>'Human Capital &amp; Earnings'!$B$41</x:f>
        <x:v>8583.853270349473</x:v>
      </x:c>
      <x:c r="C19" s="26" t="str">
        <x:v>people</x:v>
      </x:c>
      <x:c r="D19" s="26" t="str">
        <x:v>Adjusted population × employment probability.</x:v>
      </x:c>
      <x:c r="E19" s="26"/>
      <x:c r="F19" s="26"/>
      <x:c r="G19" s="26"/>
      <x:c r="H19" s="26"/>
      <x:c r="I19" s="26"/>
    </x:row>
    <x:row r="20">
      <x:c r="A20" s="26"/>
      <x:c r="B20" s="26"/>
      <x:c r="C20" s="26"/>
      <x:c r="D20" s="26"/>
      <x:c r="E20" s="26"/>
      <x:c r="F20" s="26"/>
      <x:c r="G20" s="26"/>
      <x:c r="H20" s="26"/>
      <x:c r="I20" s="26"/>
    </x:row>
    <x:row r="21">
      <x:c r="A21" s="1065" t="str">
        <x:v>Uplift measure</x:v>
      </x:c>
      <x:c r="B21" s="1065" t="str">
        <x:v>0.25%</x:v>
      </x:c>
      <x:c r="C21" s="1065" t="str">
        <x:v>0.5%</x:v>
      </x:c>
      <x:c r="D21" s="1065" t="str">
        <x:v>1.0%</x:v>
      </x:c>
      <x:c r="E21" s="1065" t="str">
        <x:v>3.0%</x:v>
      </x:c>
      <x:c r="F21" s="1065" t="str">
        <x:v>5.0%</x:v>
      </x:c>
      <x:c r="G21" s="1065" t="str">
        <x:v>Preferred use</x:v>
      </x:c>
      <x:c r="H21" s="1065" t="str">
        <x:v>What it means</x:v>
      </x:c>
      <x:c r="I21" s="1065" t="str">
        <x:v>What it does not mean</x:v>
      </x:c>
    </x:row>
    <x:row r="22">
      <x:c r="A22" s="26" t="str">
        <x:v>Affected-population uplift</x:v>
      </x:c>
      <x:c r="B22" s="1068" t="n">
        <x:v>0.0025</x:v>
      </x:c>
      <x:c r="C22" s="1068" t="n">
        <x:v>0.005</x:v>
      </x:c>
      <x:c r="D22" s="1068" t="n">
        <x:v>0.01</x:v>
      </x:c>
      <x:c r="E22" s="1068" t="n">
        <x:v>0.03</x:v>
      </x:c>
      <x:c r="F22" s="1068" t="n">
        <x:v>0.05</x:v>
      </x:c>
      <x:c r="G22" s="26" t="str">
        <x:v>Model input</x:v>
      </x:c>
      <x:c r="H22" s="26" t="str">
        <x:v>Applied to the effective affected employed population.</x:v>
      </x:c>
      <x:c r="I22" s="26" t="str">
        <x:v>Not a uniform cohort-wide increase.</x:v>
      </x:c>
    </x:row>
    <x:row r="23">
      <x:c r="A23" s="26" t="str">
        <x:v>Value-weighted equivalent — broad non-overlap cohort</x:v>
      </x:c>
      <x:c r="B23" s="1068" t="n">
        <x:f>B22*$B$19/($B$7*$B$15)</x:f>
        <x:v>0.0004142475</x:v>
      </x:c>
      <x:c r="C23" s="1068" t="n">
        <x:f>C22*$B$19/($B$7*$B$15)</x:f>
        <x:v>0.000828495</x:v>
      </x:c>
      <x:c r="D23" s="1068" t="n">
        <x:f>D22*$B$19/($B$7*$B$15)</x:f>
        <x:v>0.00165699</x:v>
      </x:c>
      <x:c r="E23" s="1068" t="n">
        <x:f>E22*$B$19/($B$7*$B$15)</x:f>
        <x:v>0.004970969999999999</x:v>
      </x:c>
      <x:c r="F23" s="1068" t="n">
        <x:f>F22*$B$19/($B$7*$B$15)</x:f>
        <x:v>0.00828495</x:v>
      </x:c>
      <x:c r="G23" s="26" t="str">
        <x:v>Broad-cohort communication</x:v>
      </x:c>
      <x:c r="H23" s="26" t="str">
        <x:v>Same lifetime earnings value spread across the broad non-overlap cohort.</x:v>
      </x:c>
      <x:c r="I23" s="26" t="str">
        <x:v>Not an additional benefit.</x:v>
      </x:c>
    </x:row>
    <x:row r="24">
      <x:c r="A24" s="26" t="str">
        <x:v>Value-weighted equivalent — full eligible cohort</x:v>
      </x:c>
      <x:c r="B24" s="1068" t="n">
        <x:f>B22*$B$19/($B$5*$B$15)</x:f>
        <x:v>0.00040492693124999997</x:v>
      </x:c>
      <x:c r="C24" s="1068" t="n">
        <x:f>C22*$B$19/($B$5*$B$15)</x:f>
        <x:v>0.0008098538624999999</x:v>
      </x:c>
      <x:c r="D24" s="1068" t="n">
        <x:f>D22*$B$19/($B$5*$B$15)</x:f>
        <x:v>0.0016197077249999999</x:v>
      </x:c>
      <x:c r="E24" s="1068" t="n">
        <x:f>E22*$B$19/($B$5*$B$15)</x:f>
        <x:v>0.004859123174999999</x:v>
      </x:c>
      <x:c r="F24" s="1068" t="n">
        <x:f>F22*$B$19/($B$5*$B$15)</x:f>
        <x:v>0.008098538624999999</x:v>
      </x:c>
      <x:c r="G24" s="26" t="str">
        <x:v>Preferred public equivalent</x:v>
      </x:c>
      <x:c r="H24" s="26" t="str">
        <x:v>Same lifetime earnings value spread across the full annual eligible cohort.</x:v>
      </x:c>
      <x:c r="I24" s="26" t="str">
        <x:v>Not a measured effect for every student.</x:v>
      </x:c>
    </x:row>
    <x:row r="25">
      <x:c r="A25" s="26" t="str">
        <x:v>Simple headcount-weighted equivalent — full cohort</x:v>
      </x:c>
      <x:c r="B25" s="1068" t="n">
        <x:f>B22*$B$19/$B$5</x:f>
        <x:v>0.00034418789156249996</x:v>
      </x:c>
      <x:c r="C25" s="1068" t="n">
        <x:f>C22*$B$19/$B$5</x:f>
        <x:v>0.0006883757831249999</x:v>
      </x:c>
      <x:c r="D25" s="1068" t="n">
        <x:f>D22*$B$19/$B$5</x:f>
        <x:v>0.0013767515662499999</x:v>
      </x:c>
      <x:c r="E25" s="1068" t="n">
        <x:f>E22*$B$19/$B$5</x:f>
        <x:v>0.004130254698749999</x:v>
      </x:c>
      <x:c r="F25" s="1068" t="n">
        <x:f>F22*$B$19/$B$5</x:f>
        <x:v>0.006883757831249998</x:v>
      </x:c>
      <x:c r="G25" s="26" t="str">
        <x:v>Secondary approximation</x:v>
      </x:c>
      <x:c r="H25" s="26" t="str">
        <x:v>Affected uplift × effective affected employed share of full cohort.</x:v>
      </x:c>
      <x:c r="I25" s="26" t="str">
        <x:v>Does not adjust the denominator for employment probability.</x:v>
      </x:c>
    </x:row>
    <x:row r="26">
      <x:c r="A26" s="26" t="str">
        <x:v>Control</x:v>
      </x:c>
      <x:c r="B26" s="26"/>
      <x:c r="C26" s="26"/>
      <x:c r="D26" s="26"/>
      <x:c r="E26" s="26"/>
      <x:c r="F26" s="26"/>
      <x:c r="G26" s="26" t="str">
        <x:v>Public reporting</x:v>
      </x:c>
      <x:c r="H26" s="26" t="str">
        <x:v>Always state both the affected-population and cohort-equivalent percentage.</x:v>
      </x:c>
      <x:c r="I26" s="26" t="str">
        <x:v>Never substitute one for the other without a label.</x:v>
      </x:c>
    </x:row>
    <x:row r="27">
      <x:c r="A27" s="26" t="str">
        <x:v>Evidence status</x:v>
      </x:c>
      <x:c r="B27" s="26"/>
      <x:c r="C27" s="26"/>
      <x:c r="D27" s="26"/>
      <x:c r="E27" s="26"/>
      <x:c r="F27" s="26"/>
      <x:c r="G27" s="26" t="str">
        <x:v>Stage 0 and pilot</x:v>
      </x:c>
      <x:c r="H27" s="26" t="str">
        <x:v>All uplift percentages remain scenario tests.</x:v>
      </x:c>
      <x:c r="I27" s="26" t="str">
        <x:v>They are not observed programme outcomes.</x:v>
      </x:c>
    </x:row>
    <x:row r="30">
      <x:c r="A30" s="1144" t="str">
        <x:v>Scenario-specific cohort-equivalent break-even earnings uplifts</x:v>
      </x:c>
      <x:c r="B30" s="1144"/>
      <x:c r="C30" s="1144"/>
      <x:c r="D30" s="1144"/>
      <x:c r="E30" s="1144"/>
      <x:c r="F30" s="1144"/>
      <x:c r="G30" s="1144"/>
      <x:c r="H30" s="1144"/>
      <x:c r="I30" s="1144"/>
      <x:c r="J30" s="1144"/>
    </x:row>
    <x:row r="31">
      <x:c r="A31" s="1149" t="str">
        <x:v>Delivery scenario</x:v>
      </x:c>
      <x:c r="B31" s="1149" t="str">
        <x:v>Discount rate</x:v>
      </x:c>
      <x:c r="C31" s="1149" t="str">
        <x:v>Affected-population break-even uplift</x:v>
      </x:c>
      <x:c r="D31" s="1149" t="str">
        <x:v>Broad non-overlap cohort</x:v>
      </x:c>
      <x:c r="E31" s="1149" t="str">
        <x:v>Full scenario cohort</x:v>
      </x:c>
      <x:c r="F31" s="1149" t="str">
        <x:v>Effective affected employed population</x:v>
      </x:c>
      <x:c r="G31" s="1149" t="str">
        <x:v>Equivalent break-even uplift — broad cohort</x:v>
      </x:c>
      <x:c r="H31" s="1149" t="str">
        <x:v>Equivalent break-even uplift — full cohort</x:v>
      </x:c>
      <x:c r="I31" s="1149" t="str">
        <x:v>Evidence status</x:v>
      </x:c>
      <x:c r="J31" s="1149" t="str">
        <x:v>Interpretation</x:v>
      </x:c>
    </x:row>
    <x:row r="32">
      <x:c r="A32" s="278" t="str">
        <x:f>'Human Capital &amp; Earnings'!A107</x:f>
        <x:v>Universal core only</x:v>
      </x:c>
      <x:c r="B32" s="1154" t="n">
        <x:f>'Human Capital &amp; Earnings'!B107</x:f>
        <x:v>0.02</x:v>
      </x:c>
      <x:c r="C32" s="1155" t="n">
        <x:f>'Human Capital &amp; Earnings'!J107</x:f>
        <x:v>0.03540353234582649</x:v>
      </x:c>
      <x:c r="D32" s="1156" t="n">
        <x:f>'Delivery Scenarios'!C20-'Benefits &amp; BCR'!C18*'Delivery Scenarios'!I20</x:f>
        <x:v>61647.17825</x:v>
      </x:c>
      <x:c r="E32" s="1156" t="n">
        <x:f>'Delivery Scenarios'!C20</x:f>
        <x:v>62348.6</x:v>
      </x:c>
      <x:c r="F32" s="1156" t="n">
        <x:f>'Human Capital &amp; Earnings'!F107</x:f>
        <x:v>7814.379978467764</x:v>
      </x:c>
      <x:c r="G32" s="1157" t="n">
        <x:f>C32*F32/(D32*Assumptions!$E$137)</x:f>
        <x:v>0.005279696915553993</x:v>
      </x:c>
      <x:c r="H32" s="1157" t="n">
        <x:f>C32*F32/(E32*Assumptions!$E$137)</x:f>
        <x:v>0.005220300325254011</x:v>
      </x:c>
      <x:c r="I32" s="1158" t="str">
        <x:f>'Delivery Scenarios'!M20</x:f>
        <x:v>Scenario only</x:v>
      </x:c>
      <x:c r="J32" s="26" t="str">
        <x:v>Scenario-specific conversion. The affected-population uplift is not a uniform cohort-wide effect.</x:v>
      </x:c>
    </x:row>
    <x:row r="33">
      <x:c r="A33" s="278" t="str">
        <x:f>'Human Capital &amp; Earnings'!A108</x:f>
        <x:v>Universal core only</x:v>
      </x:c>
      <x:c r="B33" s="1154" t="n">
        <x:f>'Human Capital &amp; Earnings'!B108</x:f>
        <x:v>0.04</x:v>
      </x:c>
      <x:c r="C33" s="1155" t="n">
        <x:f>'Human Capital &amp; Earnings'!J108</x:f>
        <x:v>0.05183174490521204</x:v>
      </x:c>
      <x:c r="D33" s="1156" t="n">
        <x:f>'Delivery Scenarios'!C20-'Benefits &amp; BCR'!C18*'Delivery Scenarios'!I20</x:f>
        <x:v>61647.17825</x:v>
      </x:c>
      <x:c r="E33" s="1156" t="n">
        <x:f>'Delivery Scenarios'!C20</x:f>
        <x:v>62348.6</x:v>
      </x:c>
      <x:c r="F33" s="1156" t="n">
        <x:f>'Human Capital &amp; Earnings'!F108</x:f>
        <x:v>7814.379978467764</x:v>
      </x:c>
      <x:c r="G33" s="1157" t="n">
        <x:f>C33*F33/(D33*Assumptions!$E$137)</x:f>
        <x:v>0.007729621469143858</x:v>
      </x:c>
      <x:c r="H33" s="1157" t="n">
        <x:f>C33*F33/(E33*Assumptions!$E$137)</x:f>
        <x:v>0.00764266322761599</x:v>
      </x:c>
      <x:c r="I33" s="1158" t="str">
        <x:f>'Delivery Scenarios'!M20</x:f>
        <x:v>Scenario only</x:v>
      </x:c>
      <x:c r="J33" s="26" t="str">
        <x:v>Scenario-specific conversion. The affected-population uplift is not a uniform cohort-wide effect.</x:v>
      </x:c>
    </x:row>
    <x:row r="34">
      <x:c r="A34" s="278" t="str">
        <x:f>'Human Capital &amp; Earnings'!A109</x:f>
        <x:v>Universal core only</x:v>
      </x:c>
      <x:c r="B34" s="1154" t="n">
        <x:f>'Human Capital &amp; Earnings'!B109</x:f>
        <x:v>0.08</x:v>
      </x:c>
      <x:c r="C34" s="1155" t="n">
        <x:f>'Human Capital &amp; Earnings'!J109</x:f>
        <x:v>0.09413738492426499</x:v>
      </x:c>
      <x:c r="D34" s="1156" t="n">
        <x:f>'Delivery Scenarios'!C20-'Benefits &amp; BCR'!C18*'Delivery Scenarios'!I20</x:f>
        <x:v>61647.17825</x:v>
      </x:c>
      <x:c r="E34" s="1156" t="n">
        <x:f>'Delivery Scenarios'!C20</x:f>
        <x:v>62348.6</x:v>
      </x:c>
      <x:c r="F34" s="1156" t="n">
        <x:f>'Human Capital &amp; Earnings'!F109</x:f>
        <x:v>7814.379978467764</x:v>
      </x:c>
      <x:c r="G34" s="1157" t="n">
        <x:f>C34*F34/(D34*Assumptions!$E$137)</x:f>
        <x:v>0.014038623490109207</x:v>
      </x:c>
      <x:c r="H34" s="1157" t="n">
        <x:f>C34*F34/(E34*Assumptions!$E$137)</x:f>
        <x:v>0.01388068897584548</x:v>
      </x:c>
      <x:c r="I34" s="1158" t="str">
        <x:f>'Delivery Scenarios'!M20</x:f>
        <x:v>Scenario only</x:v>
      </x:c>
      <x:c r="J34" s="26" t="str">
        <x:v>Scenario-specific conversion. The affected-population uplift is not a uniform cohort-wide effect.</x:v>
      </x:c>
    </x:row>
    <x:row r="35">
      <x:c r="A35" s="278" t="str">
        <x:f>'Human Capital &amp; Earnings'!A110</x:f>
        <x:v>Universal core plus targeted accelerator</x:v>
      </x:c>
      <x:c r="B35" s="1154" t="n">
        <x:f>'Human Capital &amp; Earnings'!B110</x:f>
        <x:v>0.02</x:v>
      </x:c>
      <x:c r="C35" s="1155" t="n">
        <x:f>'Human Capital &amp; Earnings'!J110</x:f>
        <x:v>0.022715858868379204</x:v>
      </x:c>
      <x:c r="D35" s="1156" t="n">
        <x:f>'Delivery Scenarios'!C21-'Benefits &amp; BCR'!C18*'Delivery Scenarios'!I21</x:f>
        <x:v>60945.756499999996</x:v>
      </x:c>
      <x:c r="E35" s="1156" t="n">
        <x:f>'Delivery Scenarios'!C21</x:f>
        <x:v>62348.6</x:v>
      </x:c>
      <x:c r="F35" s="1156" t="n">
        <x:f>'Human Capital &amp; Earnings'!F110</x:f>
        <x:v>9442.238597384423</x:v>
      </x:c>
      <x:c r="G35" s="1157" t="n">
        <x:f>C35*F35/(D35*Assumptions!$E$137)</x:f>
        <x:v>0.004140394608494723</x:v>
      </x:c>
      <x:c r="H35" s="1157" t="n">
        <x:f>C35*F35/(E35*Assumptions!$E$137)</x:f>
        <x:v>0.004047235729803591</x:v>
      </x:c>
      <x:c r="I35" s="1158" t="str">
        <x:f>'Delivery Scenarios'!M21</x:f>
        <x:v>Scenario only — retained high-risk effect unproven</x:v>
      </x:c>
      <x:c r="J35" s="26" t="str">
        <x:v>Scenario-specific conversion. The affected-population uplift is not a uniform cohort-wide effect.</x:v>
      </x:c>
    </x:row>
    <x:row r="36">
      <x:c r="A36" s="278" t="str">
        <x:f>'Human Capital &amp; Earnings'!A111</x:f>
        <x:v>Universal core plus targeted accelerator</x:v>
      </x:c>
      <x:c r="B36" s="1154" t="n">
        <x:f>'Human Capital &amp; Earnings'!B111</x:f>
        <x:v>0.04</x:v>
      </x:c>
      <x:c r="C36" s="1155" t="n">
        <x:f>'Human Capital &amp; Earnings'!J111</x:f>
        <x:v>0.033256642039771675</x:v>
      </x:c>
      <x:c r="D36" s="1156" t="n">
        <x:f>'Delivery Scenarios'!C21-'Benefits &amp; BCR'!C18*'Delivery Scenarios'!I21</x:f>
        <x:v>60945.756499999996</x:v>
      </x:c>
      <x:c r="E36" s="1156" t="n">
        <x:f>'Delivery Scenarios'!C21</x:f>
        <x:v>62348.6</x:v>
      </x:c>
      <x:c r="F36" s="1156" t="n">
        <x:f>'Human Capital &amp; Earnings'!F111</x:f>
        <x:v>9442.238597384423</x:v>
      </x:c>
      <x:c r="G36" s="1157" t="n">
        <x:f>C36*F36/(D36*Assumptions!$E$137)</x:f>
        <x:v>0.00606165156228294</x:v>
      </x:c>
      <x:c r="H36" s="1157" t="n">
        <x:f>C36*F36/(E36*Assumptions!$E$137)</x:f>
        <x:v>0.005925264402131574</x:v>
      </x:c>
      <x:c r="I36" s="1158" t="str">
        <x:f>'Delivery Scenarios'!M21</x:f>
        <x:v>Scenario only — retained high-risk effect unproven</x:v>
      </x:c>
      <x:c r="J36" s="26" t="str">
        <x:v>Scenario-specific conversion. The affected-population uplift is not a uniform cohort-wide effect.</x:v>
      </x:c>
    </x:row>
    <x:row r="37">
      <x:c r="A37" s="278" t="str">
        <x:f>'Human Capital &amp; Earnings'!A112</x:f>
        <x:v>Universal core plus targeted accelerator</x:v>
      </x:c>
      <x:c r="B37" s="1154" t="n">
        <x:f>'Human Capital &amp; Earnings'!B112</x:f>
        <x:v>0.08</x:v>
      </x:c>
      <x:c r="C37" s="1155" t="n">
        <x:f>'Human Capital &amp; Earnings'!J112</x:f>
        <x:v>0.06040107888923621</x:v>
      </x:c>
      <x:c r="D37" s="1156" t="n">
        <x:f>'Delivery Scenarios'!C21-'Benefits &amp; BCR'!C18*'Delivery Scenarios'!I21</x:f>
        <x:v>60945.756499999996</x:v>
      </x:c>
      <x:c r="E37" s="1156" t="n">
        <x:f>'Delivery Scenarios'!C21</x:f>
        <x:v>62348.6</x:v>
      </x:c>
      <x:c r="F37" s="1156" t="n">
        <x:f>'Human Capital &amp; Earnings'!F112</x:f>
        <x:v>9442.238597384423</x:v>
      </x:c>
      <x:c r="G37" s="1157" t="n">
        <x:f>C37*F37/(D37*Assumptions!$E$137)</x:f>
        <x:v>0.011009238207954306</x:v>
      </x:c>
      <x:c r="H37" s="1157" t="n">
        <x:f>C37*F37/(E37*Assumptions!$E$137)</x:f>
        <x:v>0.010761530348275334</x:v>
      </x:c>
      <x:c r="I37" s="1158" t="str">
        <x:f>'Delivery Scenarios'!M21</x:f>
        <x:v>Scenario only — retained high-risk effect unproven</x:v>
      </x:c>
      <x:c r="J37" s="26" t="str">
        <x:v>Scenario-specific conversion. The affected-population uplift is not a uniform cohort-wide effect.</x:v>
      </x:c>
    </x:row>
    <x:row r="38">
      <x:c r="A38" s="278" t="str">
        <x:f>'Human Capital &amp; Earnings'!A113</x:f>
        <x:v>Targeted pilot</x:v>
      </x:c>
      <x:c r="B38" s="1154" t="n">
        <x:f>'Human Capital &amp; Earnings'!B113</x:f>
        <x:v>0.02</x:v>
      </x:c>
      <x:c r="C38" s="1155" t="n">
        <x:f>'Human Capital &amp; Earnings'!J113</x:f>
        <x:v>0.03530379149356595</x:v>
      </x:c>
      <x:c r="D38" s="1156" t="n">
        <x:f>'Delivery Scenarios'!C22-'Benefits &amp; BCR'!B18</x:f>
        <x:v>4042.5</x:v>
      </x:c>
      <x:c r="E38" s="1156" t="n">
        <x:f>'Delivery Scenarios'!C22</x:f>
        <x:v>4200</x:v>
      </x:c>
      <x:c r="F38" s="1156" t="n">
        <x:f>'Human Capital &amp; Earnings'!F113</x:f>
        <x:v>683.23497165</x:v>
      </x:c>
      <x:c r="G38" s="1157" t="n">
        <x:f>C38*F38/(D38*Assumptions!$E$137)</x:f>
        <x:v>0.007019763536030862</x:v>
      </x:c>
      <x:c r="H38" s="1157" t="n">
        <x:f>C38*F38/(E38*Assumptions!$E$137)</x:f>
        <x:v>0.006756522403429705</x:v>
      </x:c>
      <x:c r="I38" s="1158" t="str">
        <x:f>'Delivery Scenarios'!M22</x:f>
        <x:v>Existing pilot cost</x:v>
      </x:c>
      <x:c r="J38" s="26" t="str">
        <x:v>Scenario-specific conversion. The affected-population uplift is not a uniform cohort-wide effect.</x:v>
      </x:c>
    </x:row>
    <x:row r="39">
      <x:c r="A39" s="278" t="str">
        <x:f>'Human Capital &amp; Earnings'!A114</x:f>
        <x:v>Targeted pilot</x:v>
      </x:c>
      <x:c r="B39" s="1154" t="n">
        <x:f>'Human Capital &amp; Earnings'!B114</x:f>
        <x:v>0.04</x:v>
      </x:c>
      <x:c r="C39" s="1155" t="n">
        <x:f>'Human Capital &amp; Earnings'!J114</x:f>
        <x:v>0.05168572155475939</x:v>
      </x:c>
      <x:c r="D39" s="1156" t="n">
        <x:f>'Delivery Scenarios'!C22-'Benefits &amp; BCR'!B18</x:f>
        <x:v>4042.5</x:v>
      </x:c>
      <x:c r="E39" s="1156" t="n">
        <x:f>'Delivery Scenarios'!C22</x:f>
        <x:v>4200</x:v>
      </x:c>
      <x:c r="F39" s="1156" t="n">
        <x:f>'Human Capital &amp; Earnings'!F114</x:f>
        <x:v>683.23497165</x:v>
      </x:c>
      <x:c r="G39" s="1157" t="n">
        <x:f>C39*F39/(D39*Assumptions!$E$137)</x:f>
        <x:v>0.01027712685108249</x:v>
      </x:c>
      <x:c r="H39" s="1157" t="n">
        <x:f>C39*F39/(E39*Assumptions!$E$137)</x:f>
        <x:v>0.009891734594166897</x:v>
      </x:c>
      <x:c r="I39" s="1158" t="str">
        <x:f>'Delivery Scenarios'!M22</x:f>
        <x:v>Existing pilot cost</x:v>
      </x:c>
      <x:c r="J39" s="26" t="str">
        <x:v>Scenario-specific conversion. The affected-population uplift is not a uniform cohort-wide effect.</x:v>
      </x:c>
    </x:row>
    <x:row r="40">
      <x:c r="A40" s="278" t="str">
        <x:f>'Human Capital &amp; Earnings'!A115</x:f>
        <x:v>Targeted pilot</x:v>
      </x:c>
      <x:c r="B40" s="1154" t="n">
        <x:f>'Human Capital &amp; Earnings'!B115</x:f>
        <x:v>0.08</x:v>
      </x:c>
      <x:c r="C40" s="1155" t="n">
        <x:f>'Human Capital &amp; Earnings'!J115</x:f>
        <x:v>0.09387217570982254</x:v>
      </x:c>
      <x:c r="D40" s="1156" t="n">
        <x:f>'Delivery Scenarios'!C22-'Benefits &amp; BCR'!B18</x:f>
        <x:v>4042.5</x:v>
      </x:c>
      <x:c r="E40" s="1156" t="n">
        <x:f>'Delivery Scenarios'!C22</x:f>
        <x:v>4200</x:v>
      </x:c>
      <x:c r="F40" s="1156" t="n">
        <x:f>'Human Capital &amp; Earnings'!F115</x:f>
        <x:v>683.23497165</x:v>
      </x:c>
      <x:c r="G40" s="1157" t="n">
        <x:f>C40*F40/(D40*Assumptions!$E$137)</x:f>
        <x:v>0.018665430771530264</x:v>
      </x:c>
      <x:c r="H40" s="1157" t="n">
        <x:f>C40*F40/(E40*Assumptions!$E$137)</x:f>
        <x:v>0.01796547711759788</x:v>
      </x:c>
      <x:c r="I40" s="1158" t="str">
        <x:f>'Delivery Scenarios'!M22</x:f>
        <x:v>Existing pilot cost</x:v>
      </x:c>
      <x:c r="J40" s="26" t="str">
        <x:v>Scenario-specific conversion. The affected-population uplift is not a uniform cohort-wide effect.</x:v>
      </x:c>
    </x:row>
    <x:row r="41">
      <x:c r="A41" s="278" t="str">
        <x:f>'Human Capital &amp; Earnings'!A116</x:f>
        <x:v>Mature national design</x:v>
      </x:c>
      <x:c r="B41" s="1154" t="n">
        <x:f>'Human Capital &amp; Earnings'!B116</x:f>
        <x:v>0.02</x:v>
      </x:c>
      <x:c r="C41" s="1155" t="n">
        <x:f>'Human Capital &amp; Earnings'!J116</x:f>
        <x:v>0.058127484370145754</x:v>
      </x:c>
      <x:c r="D41" s="1156" t="n">
        <x:f>'Delivery Scenarios'!C23-'Benefits &amp; BCR'!C18*'Delivery Scenarios'!I23</x:f>
        <x:v>60945.756499999996</x:v>
      </x:c>
      <x:c r="E41" s="1156" t="n">
        <x:f>'Delivery Scenarios'!C23</x:f>
        <x:v>62348.6</x:v>
      </x:c>
      <x:c r="F41" s="1156" t="n">
        <x:f>'Human Capital &amp; Earnings'!F116</x:f>
        <x:v>8583.853270349473</x:v>
      </x:c>
      <x:c r="G41" s="1157" t="n">
        <x:f>C41*F41/(D41*Assumptions!$E$137)</x:f>
        <x:v>0.00963166603264878</x:v>
      </x:c>
      <x:c r="H41" s="1157" t="n">
        <x:f>C41*F41/(E41*Assumptions!$E$137)</x:f>
        <x:v>0.009414953546914183</x:v>
      </x:c>
      <x:c r="I41" s="1158" t="str">
        <x:f>'Delivery Scenarios'!M23</x:f>
        <x:v>Planning model</x:v>
      </x:c>
      <x:c r="J41" s="26" t="str">
        <x:v>Scenario-specific conversion. The affected-population uplift is not a uniform cohort-wide effect.</x:v>
      </x:c>
    </x:row>
    <x:row r="42">
      <x:c r="A42" s="278" t="str">
        <x:f>'Human Capital &amp; Earnings'!A117</x:f>
        <x:v>Mature national design</x:v>
      </x:c>
      <x:c r="B42" s="1154" t="n">
        <x:f>'Human Capital &amp; Earnings'!B117</x:f>
        <x:v>0.04</x:v>
      </x:c>
      <x:c r="C42" s="1155" t="n">
        <x:f>'Human Capital &amp; Earnings'!J117</x:f>
        <x:v>0.0851002355478312</x:v>
      </x:c>
      <x:c r="D42" s="1156" t="n">
        <x:f>'Delivery Scenarios'!C23-'Benefits &amp; BCR'!C18*'Delivery Scenarios'!I23</x:f>
        <x:v>60945.756499999996</x:v>
      </x:c>
      <x:c r="E42" s="1156" t="n">
        <x:f>'Delivery Scenarios'!C23</x:f>
        <x:v>62348.6</x:v>
      </x:c>
      <x:c r="F42" s="1156" t="n">
        <x:f>'Human Capital &amp; Earnings'!F117</x:f>
        <x:v>8583.853270349473</x:v>
      </x:c>
      <x:c r="G42" s="1157" t="n">
        <x:f>C42*F42/(D42*Assumptions!$E$137)</x:f>
        <x:v>0.014101023930040079</x:v>
      </x:c>
      <x:c r="H42" s="1157" t="n">
        <x:f>C42*F42/(E42*Assumptions!$E$137)</x:f>
        <x:v>0.013783750891614176</x:v>
      </x:c>
      <x:c r="I42" s="1158" t="str">
        <x:f>'Delivery Scenarios'!M23</x:f>
        <x:v>Planning model</x:v>
      </x:c>
      <x:c r="J42" s="26" t="str">
        <x:v>Scenario-specific conversion. The affected-population uplift is not a uniform cohort-wide effect.</x:v>
      </x:c>
    </x:row>
    <x:row r="43">
      <x:c r="A43" s="278" t="str">
        <x:f>'Human Capital &amp; Earnings'!A118</x:f>
        <x:v>Mature national design</x:v>
      </x:c>
      <x:c r="B43" s="1154" t="n">
        <x:f>'Human Capital &amp; Earnings'!B118</x:f>
        <x:v>0.08</x:v>
      </x:c>
      <x:c r="C43" s="1155" t="n">
        <x:f>'Human Capital &amp; Earnings'!J118</x:f>
        <x:v>0.15455998337625385</x:v>
      </x:c>
      <x:c r="D43" s="1156" t="n">
        <x:f>'Delivery Scenarios'!C23-'Benefits &amp; BCR'!C18*'Delivery Scenarios'!I23</x:f>
        <x:v>60945.756499999996</x:v>
      </x:c>
      <x:c r="E43" s="1156" t="n">
        <x:f>'Delivery Scenarios'!C23</x:f>
        <x:v>62348.6</x:v>
      </x:c>
      <x:c r="F43" s="1156" t="n">
        <x:f>'Human Capital &amp; Earnings'!F118</x:f>
        <x:v>8583.853270349473</x:v>
      </x:c>
      <x:c r="G43" s="1157" t="n">
        <x:f>C43*F43/(D43*Assumptions!$E$137)</x:f>
        <x:v>0.02561043468546188</x:v>
      </x:c>
      <x:c r="H43" s="1157" t="n">
        <x:f>C43*F43/(E43*Assumptions!$E$137)</x:f>
        <x:v>0.025034199905038988</x:v>
      </x:c>
      <x:c r="I43" s="1158" t="str">
        <x:f>'Delivery Scenarios'!M23</x:f>
        <x:v>Planning model</x:v>
      </x:c>
      <x:c r="J43" s="26" t="str">
        <x:v>Scenario-specific conversion. The affected-population uplift is not a uniform cohort-wide effect.</x:v>
      </x:c>
    </x:row>
    <x:row r="44">
      <x:c r="A44"/>
      <x:c r="B44"/>
      <x:c r="C44"/>
      <x:c r="D44"/>
      <x:c r="E44"/>
      <x:c r="F44"/>
      <x:c r="G44"/>
      <x:c r="H44"/>
      <x:c r="I44"/>
      <x:c r="J44"/>
    </x:row>
    <x:row r="45">
      <x:c r="A45" s="1144" t="str">
        <x:v>How the broader earnings sensitivity changes the mature national full-expenditure BCR — 2% social case</x:v>
      </x:c>
      <x:c r="B45" s="1144"/>
      <x:c r="C45" s="1144"/>
      <x:c r="D45" s="1144"/>
      <x:c r="E45" s="1144"/>
      <x:c r="F45" s="1144"/>
      <x:c r="G45" s="1144"/>
      <x:c r="H45" s="1144"/>
      <x:c r="I45" s="1144"/>
      <x:c r="J45"/>
    </x:row>
    <x:row r="46">
      <x:c r="A46" s="1149" t="str">
        <x:v>Affected-population earnings uplift</x:v>
      </x:c>
      <x:c r="B46" s="1149" t="str">
        <x:v>Base lifetime benefits</x:v>
      </x:c>
      <x:c r="C46" s="1149" t="str">
        <x:v>Lifetime earnings PV added</x:v>
      </x:c>
      <x:c r="D46" s="1149" t="str">
        <x:v>Total included lifetime benefits</x:v>
      </x:c>
      <x:c r="E46" s="1149" t="str">
        <x:v>Full-expenditure BCR — 2%</x:v>
      </x:c>
      <x:c r="F46" s="1149" t="str">
        <x:v>Conventional net social ROI</x:v>
      </x:c>
      <x:c r="G46" s="1149" t="str">
        <x:v>Crown fiscal coverage — 4%</x:v>
      </x:c>
      <x:c r="H46" s="1149" t="str">
        <x:v>Evidence status</x:v>
      </x:c>
      <x:c r="I46" s="1149" t="str">
        <x:v>Status</x:v>
      </x:c>
      <x:c r="J46"/>
    </x:row>
    <x:row r="47">
      <x:c r="A47" s="1155" t="n">
        <x:f>'Human Capital &amp; Earnings'!A96</x:f>
        <x:v>0</x:v>
      </x:c>
      <x:c r="B47" s="167" t="n">
        <x:f>'Benefits &amp; BCR'!C24+'Cohort Bridge'!D30</x:f>
        <x:v>386628068.3707794</x:v>
      </x:c>
      <x:c r="C47" s="167" t="n">
        <x:f>'Human Capital &amp; Earnings'!C96</x:f>
        <x:v>0</x:v>
      </x:c>
      <x:c r="D47" s="167" t="n">
        <x:f>B47+C47</x:f>
        <x:v>386628068.3707794</x:v>
      </x:c>
      <x:c r="E47" s="593" t="n">
        <x:f>'Human Capital &amp; Earnings'!J96</x:f>
        <x:v>0.25333759922376436</x:v>
      </x:c>
      <x:c r="F47" s="276" t="n">
        <x:f>E47-1</x:f>
        <x:v>-0.7466624007762357</x:v>
      </x:c>
      <x:c r="G47" s="276" t="n">
        <x:f>'Human Capital &amp; Earnings'!M96</x:f>
        <x:v>0.11112842821032895</x:v>
      </x:c>
      <x:c r="H47" s="1161" t="str">
        <x:v>Sensitivity only — not a forecast</x:v>
      </x:c>
      <x:c r="I47" s="1162" t="str">
        <x:f>IF(E47&gt;1.05,"ABOVE THRESHOLD",IF(E47&gt;=0.95,"APPROX. BREAK-EVEN","BELOW THRESHOLD"))</x:f>
        <x:v>BELOW THRESHOLD</x:v>
      </x:c>
      <x:c r="J47"/>
    </x:row>
    <x:row r="48">
      <x:c r="A48" s="1155" t="n">
        <x:f>'Human Capital &amp; Earnings'!A97</x:f>
        <x:v>0.0025</x:v>
      </x:c>
      <x:c r="B48" s="167" t="n">
        <x:f>'Benefits &amp; BCR'!C24+'Cohort Bridge'!D30</x:f>
        <x:v>386628068.3707794</x:v>
      </x:c>
      <x:c r="C48" s="167" t="n">
        <x:f>'Human Capital &amp; Earnings'!C97</x:f>
        <x:v>49009073.4641273</x:v>
      </x:c>
      <x:c r="D48" s="167" t="n">
        <x:f>B48+C48</x:f>
        <x:v>435637141.8349067</x:v>
      </x:c>
      <x:c r="E48" s="593" t="n">
        <x:f>'Human Capital &amp; Earnings'!J97</x:f>
        <x:v>0.28545073851006214</x:v>
      </x:c>
      <x:c r="F48" s="276" t="n">
        <x:f>E48-1</x:f>
        <x:v>-0.7145492614899378</x:v>
      </x:c>
      <x:c r="G48" s="276" t="n">
        <x:f>'Human Capital &amp; Earnings'!M97</x:f>
        <x:v>0.11812885663218689</x:v>
      </x:c>
      <x:c r="H48" s="1161" t="str">
        <x:v>Sensitivity only — not a forecast</x:v>
      </x:c>
      <x:c r="I48" s="1162" t="str">
        <x:f>IF(E48&gt;1.05,"ABOVE THRESHOLD",IF(E48&gt;=0.95,"APPROX. BREAK-EVEN","BELOW THRESHOLD"))</x:f>
        <x:v>BELOW THRESHOLD</x:v>
      </x:c>
      <x:c r="J48"/>
    </x:row>
    <x:row r="49">
      <x:c r="A49" s="1155" t="n">
        <x:f>'Human Capital &amp; Earnings'!A98</x:f>
        <x:v>0.005</x:v>
      </x:c>
      <x:c r="B49" s="167" t="n">
        <x:f>'Benefits &amp; BCR'!C24+'Cohort Bridge'!D30</x:f>
        <x:v>386628068.3707794</x:v>
      </x:c>
      <x:c r="C49" s="167" t="n">
        <x:f>'Human Capital &amp; Earnings'!C98</x:f>
        <x:v>98018146.9282546</x:v>
      </x:c>
      <x:c r="D49" s="167" t="n">
        <x:f>B49+C49</x:f>
        <x:v>484646215.299034</x:v>
      </x:c>
      <x:c r="E49" s="593" t="n">
        <x:f>'Human Capital &amp; Earnings'!J98</x:f>
        <x:v>0.31756387779636</x:v>
      </x:c>
      <x:c r="F49" s="276" t="n">
        <x:f>E49-1</x:f>
        <x:v>-0.68243612220364</x:v>
      </x:c>
      <x:c r="G49" s="276" t="n">
        <x:f>'Human Capital &amp; Earnings'!M98</x:f>
        <x:v>0.12512928505404483</x:v>
      </x:c>
      <x:c r="H49" s="1161" t="str">
        <x:v>Sensitivity only — not a forecast</x:v>
      </x:c>
      <x:c r="I49" s="1162" t="str">
        <x:f>IF(E49&gt;1.05,"ABOVE THRESHOLD",IF(E49&gt;=0.95,"APPROX. BREAK-EVEN","BELOW THRESHOLD"))</x:f>
        <x:v>BELOW THRESHOLD</x:v>
      </x:c>
      <x:c r="J49"/>
    </x:row>
    <x:row r="50">
      <x:c r="A50" s="1155" t="n">
        <x:f>'Human Capital &amp; Earnings'!A99</x:f>
        <x:v>0.01</x:v>
      </x:c>
      <x:c r="B50" s="167" t="n">
        <x:f>'Benefits &amp; BCR'!C24+'Cohort Bridge'!D30</x:f>
        <x:v>386628068.3707794</x:v>
      </x:c>
      <x:c r="C50" s="167" t="n">
        <x:f>'Human Capital &amp; Earnings'!C99</x:f>
        <x:v>196036293.8565092</x:v>
      </x:c>
      <x:c r="D50" s="167" t="n">
        <x:f>B50+C50</x:f>
        <x:v>582664362.2272886</x:v>
      </x:c>
      <x:c r="E50" s="593" t="n">
        <x:f>'Human Capital &amp; Earnings'!J99</x:f>
        <x:v>0.3817901563689555</x:v>
      </x:c>
      <x:c r="F50" s="276" t="n">
        <x:f>E50-1</x:f>
        <x:v>-0.6182098436310445</x:v>
      </x:c>
      <x:c r="G50" s="276" t="n">
        <x:f>'Human Capital &amp; Earnings'!M99</x:f>
        <x:v>0.13913014189776074</x:v>
      </x:c>
      <x:c r="H50" s="1161" t="str">
        <x:v>Sensitivity only — not a forecast</x:v>
      </x:c>
      <x:c r="I50" s="1162" t="str">
        <x:f>IF(E50&gt;1.05,"ABOVE THRESHOLD",IF(E50&gt;=0.95,"APPROX. BREAK-EVEN","BELOW THRESHOLD"))</x:f>
        <x:v>BELOW THRESHOLD</x:v>
      </x:c>
      <x:c r="J50"/>
    </x:row>
    <x:row r="51">
      <x:c r="A51" s="1155" t="n">
        <x:f>'Human Capital &amp; Earnings'!A100</x:f>
        <x:v>0.02</x:v>
      </x:c>
      <x:c r="B51" s="167" t="n">
        <x:f>'Benefits &amp; BCR'!C24+'Cohort Bridge'!D30</x:f>
        <x:v>386628068.3707794</x:v>
      </x:c>
      <x:c r="C51" s="167" t="n">
        <x:f>'Human Capital &amp; Earnings'!C100</x:f>
        <x:v>392072587.7130184</x:v>
      </x:c>
      <x:c r="D51" s="167" t="n">
        <x:f>B51+C51</x:f>
        <x:v>778700656.0837978</x:v>
      </x:c>
      <x:c r="E51" s="593" t="n">
        <x:f>'Human Capital &amp; Earnings'!J100</x:f>
        <x:v>0.5102427135141467</x:v>
      </x:c>
      <x:c r="F51" s="276" t="n">
        <x:f>E51-1</x:f>
        <x:v>-0.48975728648585326</x:v>
      </x:c>
      <x:c r="G51" s="276" t="n">
        <x:f>'Human Capital &amp; Earnings'!M100</x:f>
        <x:v>0.16713185558519256</x:v>
      </x:c>
      <x:c r="H51" s="1161" t="str">
        <x:v>Sensitivity only — not a forecast</x:v>
      </x:c>
      <x:c r="I51" s="1162" t="str">
        <x:f>IF(E51&gt;1.05,"ABOVE THRESHOLD",IF(E51&gt;=0.95,"APPROX. BREAK-EVEN","BELOW THRESHOLD"))</x:f>
        <x:v>BELOW THRESHOLD</x:v>
      </x:c>
      <x:c r="J51"/>
    </x:row>
    <x:row r="52">
      <x:c r="A52" s="1155" t="n">
        <x:f>'Human Capital &amp; Earnings'!A101</x:f>
        <x:v>0.03</x:v>
      </x:c>
      <x:c r="B52" s="167" t="n">
        <x:f>'Benefits &amp; BCR'!C24+'Cohort Bridge'!D30</x:f>
        <x:v>386628068.3707794</x:v>
      </x:c>
      <x:c r="C52" s="167" t="n">
        <x:f>'Human Capital &amp; Earnings'!C101</x:f>
        <x:v>588108881.5695276</x:v>
      </x:c>
      <x:c r="D52" s="167" t="n">
        <x:f>B52+C52</x:f>
        <x:v>974736949.940307</x:v>
      </x:c>
      <x:c r="E52" s="593" t="n">
        <x:f>'Human Capital &amp; Earnings'!J101</x:f>
        <x:v>0.638695270659338</x:v>
      </x:c>
      <x:c r="F52" s="276" t="n">
        <x:f>E52-1</x:f>
        <x:v>-0.36130472934066205</x:v>
      </x:c>
      <x:c r="G52" s="276" t="n">
        <x:f>'Human Capital &amp; Earnings'!M101</x:f>
        <x:v>0.19513356927262435</x:v>
      </x:c>
      <x:c r="H52" s="1161" t="str">
        <x:v>Sensitivity only — not a forecast</x:v>
      </x:c>
      <x:c r="I52" s="1162" t="str">
        <x:f>IF(E52&gt;1.05,"ABOVE THRESHOLD",IF(E52&gt;=0.95,"APPROX. BREAK-EVEN","BELOW THRESHOLD"))</x:f>
        <x:v>BELOW THRESHOLD</x:v>
      </x:c>
      <x:c r="J52"/>
    </x:row>
    <x:row r="53">
      <x:c r="A53" s="1155" t="n">
        <x:f>'Human Capital &amp; Earnings'!A102</x:f>
        <x:v>0.05</x:v>
      </x:c>
      <x:c r="B53" s="167" t="n">
        <x:f>'Benefits &amp; BCR'!C24+'Cohort Bridge'!D30</x:f>
        <x:v>386628068.3707794</x:v>
      </x:c>
      <x:c r="C53" s="167" t="n">
        <x:f>'Human Capital &amp; Earnings'!C102</x:f>
        <x:v>980181469.282546</x:v>
      </x:c>
      <x:c r="D53" s="167" t="n">
        <x:f>B53+C53</x:f>
        <x:v>1366809537.6533256</x:v>
      </x:c>
      <x:c r="E53" s="593" t="n">
        <x:f>'Human Capital &amp; Earnings'!J102</x:f>
        <x:v>0.8956003849497204</x:v>
      </x:c>
      <x:c r="F53" s="276" t="n">
        <x:f>E53-1</x:f>
        <x:v>-0.10439961505027961</x:v>
      </x:c>
      <x:c r="G53" s="276" t="n">
        <x:f>'Human Capital &amp; Earnings'!M102</x:f>
        <x:v>0.2511369966474879</x:v>
      </x:c>
      <x:c r="H53" s="1161" t="str">
        <x:v>Sensitivity only — not a forecast</x:v>
      </x:c>
      <x:c r="I53" s="1162" t="str">
        <x:f>IF(E53&gt;1.05,"ABOVE THRESHOLD",IF(E53&gt;=0.95,"APPROX. BREAK-EVEN","BELOW THRESHOLD"))</x:f>
        <x:v>BELOW THRESHOLD</x:v>
      </x:c>
      <x:c r="J53"/>
    </x:row>
    <x:row r="54">
      <x:c r="A54"/>
      <x:c r="B54"/>
      <x:c r="C54"/>
      <x:c r="D54"/>
      <x:c r="E54"/>
      <x:c r="F54"/>
      <x:c r="G54"/>
      <x:c r="H54"/>
      <x:c r="I54"/>
      <x:c r="J54"/>
    </x:row>
    <x:row r="55">
      <x:c r="A55"/>
      <x:c r="B55"/>
      <x:c r="C55"/>
      <x:c r="D55"/>
      <x:c r="E55"/>
      <x:c r="F55"/>
      <x:c r="G55"/>
      <x:c r="H55"/>
      <x:c r="I55"/>
      <x:c r="J55"/>
    </x:row>
    <x:row r="56">
      <x:c r="A56"/>
      <x:c r="B56"/>
      <x:c r="C56"/>
      <x:c r="D56"/>
      <x:c r="E56"/>
      <x:c r="F56"/>
      <x:c r="G56"/>
      <x:c r="H56"/>
      <x:c r="I56"/>
      <x:c r="J56"/>
    </x:row>
    <x:row r="57">
      <x:c r="A57"/>
      <x:c r="B57"/>
      <x:c r="C57"/>
      <x:c r="D57"/>
      <x:c r="E57"/>
      <x:c r="F57"/>
      <x:c r="G57"/>
      <x:c r="H57"/>
      <x:c r="I57"/>
      <x:c r="J57"/>
    </x:row>
    <x:row r="58">
      <x:c r="A58"/>
      <x:c r="B58"/>
      <x:c r="C58"/>
      <x:c r="D58"/>
      <x:c r="E58"/>
      <x:c r="F58"/>
      <x:c r="G58"/>
      <x:c r="H58"/>
      <x:c r="I58"/>
      <x:c r="J58"/>
    </x:row>
    <x:row r="59">
      <x:c r="A59"/>
      <x:c r="B59"/>
      <x:c r="C59"/>
      <x:c r="D59"/>
      <x:c r="E59"/>
      <x:c r="F59"/>
      <x:c r="G59"/>
      <x:c r="H59"/>
      <x:c r="I59"/>
      <x:c r="J59"/>
    </x:row>
    <x:row r="60">
      <x:c r="A60"/>
      <x:c r="B60"/>
      <x:c r="C60"/>
      <x:c r="D60"/>
      <x:c r="E60"/>
      <x:c r="F60"/>
      <x:c r="G60"/>
      <x:c r="H60"/>
      <x:c r="I60"/>
      <x:c r="J60"/>
    </x:row>
  </x:sheetData>
  <x:mergeCells>
    <x:mergeCell ref="A1:I1"/>
    <x:mergeCell ref="A2:I2"/>
    <x:mergeCell ref="A30:J30"/>
    <x:mergeCell ref="A45:I45"/>
  </x:mergeCells>
  <x:conditionalFormatting sqref="E47:E53">
    <x:cfRule type="cellIs" dxfId="0" priority="1" operator="greaterThan">
      <x:formula>1.05</x:formula>
    </x:cfRule>
    <x:cfRule type="cellIs" dxfId="1" priority="2" operator="between">
      <x:formula>0.95</x:formula>
      <x:formula>1.05</x:formula>
    </x:cfRule>
    <x:cfRule type="cellIs" dxfId="2" priority="3" operator="lessThan">
      <x:formula>0.95</x:formula>
    </x:cfRule>
  </x:conditionalFormatting>
  <x:conditionalFormatting sqref="F47:F53">
    <x:cfRule type="cellIs" dxfId="3" priority="4" operator="greaterThan">
      <x:formula>0</x:formula>
    </x:cfRule>
    <x:cfRule type="cellIs" dxfId="4" priority="5" operator="between">
      <x:formula>-0.05</x:formula>
      <x:formula>0.05</x:formula>
    </x:cfRule>
    <x:cfRule type="cellIs" dxfId="5" priority="6" operator="lessThan">
      <x:formula>-0.05</x:formula>
    </x:cfRule>
  </x:conditionalFormatting>
  <x:conditionalFormatting sqref="G47:G53">
    <x:cfRule type="cellIs" dxfId="6" priority="7" operator="greaterThanOrEqual">
      <x:formula>1</x:formula>
    </x:cfRule>
    <x:cfRule type="cellIs" dxfId="7" priority="8" operator="lessThan">
      <x:formula>1</x:formula>
    </x:cfRule>
  </x:conditionalFormatting>
  <x:pageMargins left="0.7" right="0.7" top="0.75" bottom="0.75" header="0.3" footer="0.3"/>
</x:worksheet>
</file>

<file path=xl/worksheets/sheet21.xml><?xml version="1.0" encoding="utf-8"?>
<x:worksheet xmlns:x="http://schemas.openxmlformats.org/spreadsheetml/2006/main">
  <x:sheetViews>
    <x:sheetView showGridLines="0" workbookViewId="0"/>
  </x:sheetViews>
  <x:sheetFormatPr defaultRowHeight="15"/>
  <x:cols>
    <x:col min="1" max="1" width="24" hidden="0" customWidth="1"/>
    <x:col min="2" max="2" width="44" hidden="0" customWidth="1"/>
    <x:col min="3" max="3" width="18" hidden="0" customWidth="1"/>
    <x:col min="4" max="4" width="18" hidden="0" customWidth="1"/>
    <x:col min="5" max="5" width="16" hidden="0" customWidth="1"/>
    <x:col min="6" max="6" width="24" hidden="0" customWidth="1"/>
    <x:col min="7" max="7" width="22" hidden="0" customWidth="1"/>
    <x:col min="8" max="8" width="34" hidden="0" customWidth="1"/>
    <x:col min="9" max="9" width="18" hidden="0" customWidth="1"/>
    <x:col min="10" max="10" width="30" hidden="0" customWidth="1"/>
    <x:col min="11" max="11" width="30" hidden="0" customWidth="1"/>
    <x:col min="12" max="12" width="46" hidden="0" customWidth="1"/>
    <x:col min="13" max="13" width="46" hidden="0" customWidth="1"/>
    <x:col min="14" max="14" width="30" hidden="0" customWidth="1"/>
    <x:col min="15" max="15" width="22" hidden="0" customWidth="1"/>
    <x:col min="16" max="16" width="14" hidden="0" customWidth="1"/>
  </x:cols>
  <x:sheetData>
    <x:row r="1">
      <x:c r="A1" s="1240" t="str">
        <x:v>Website Data Export — Formula-Linked Financial Metrics</x:v>
      </x:c>
      <x:c r="B1" s="1240"/>
      <x:c r="C1" s="1240"/>
      <x:c r="D1" s="1240"/>
      <x:c r="E1" s="1240"/>
      <x:c r="F1" s="1240"/>
      <x:c r="G1" s="1240"/>
      <x:c r="H1" s="1240"/>
      <x:c r="I1" s="1240"/>
      <x:c r="J1" s="1240"/>
      <x:c r="K1" s="1240"/>
      <x:c r="L1" s="1240"/>
      <x:c r="M1" s="1240"/>
      <x:c r="N1" s="1240"/>
      <x:c r="O1" s="1240"/>
      <x:c r="P1" s="1240"/>
    </x:row>
    <x:row r="2">
      <x:c r="A2" s="1163" t="str">
        <x:v>The Value column links to the controlling workbook formulas. Display value is the current public-format rendering for website export.</x:v>
      </x:c>
      <x:c r="B2" s="1163"/>
      <x:c r="C2" s="1163"/>
      <x:c r="D2" s="1163"/>
      <x:c r="E2" s="1163"/>
      <x:c r="F2" s="1163"/>
      <x:c r="G2" s="1163"/>
      <x:c r="H2" s="1163"/>
      <x:c r="I2" s="1163"/>
      <x:c r="J2" s="1163"/>
      <x:c r="K2" s="1163"/>
      <x:c r="L2" s="1163"/>
      <x:c r="M2" s="1163"/>
      <x:c r="N2" s="1163"/>
      <x:c r="O2" s="1163"/>
      <x:c r="P2" s="1163"/>
    </x:row>
    <x:row r="4">
      <x:c r="A4" s="1344" t="str">
        <x:v>Metric ID</x:v>
      </x:c>
      <x:c r="B4" s="1344" t="str">
        <x:v>Public label</x:v>
      </x:c>
      <x:c r="C4" s="1344" t="str">
        <x:v>Value</x:v>
      </x:c>
      <x:c r="D4" s="1344" t="str">
        <x:v>Display value</x:v>
      </x:c>
      <x:c r="E4" s="1344" t="str">
        <x:v>Unit</x:v>
      </x:c>
      <x:c r="F4" s="1344" t="str">
        <x:v>Period</x:v>
      </x:c>
      <x:c r="G4" s="1344" t="str">
        <x:v>Perspective</x:v>
      </x:c>
      <x:c r="H4" s="1344" t="str">
        <x:v>Scenario</x:v>
      </x:c>
      <x:c r="I4" s="1344" t="str">
        <x:v>Discount rate</x:v>
      </x:c>
      <x:c r="J4" s="1344" t="str">
        <x:v>Evidence status</x:v>
      </x:c>
      <x:c r="K4" s="1344" t="str">
        <x:v>Status</x:v>
      </x:c>
      <x:c r="L4" s="1344" t="str">
        <x:v>One-sentence explanation</x:v>
      </x:c>
      <x:c r="M4" s="1344" t="str">
        <x:v>What it does not mean</x:v>
      </x:c>
      <x:c r="N4" s="1344" t="str">
        <x:v>Source workbook sheet</x:v>
      </x:c>
      <x:c r="O4" s="1344" t="str">
        <x:v>Source cell</x:v>
      </x:c>
      <x:c r="P4" s="1344" t="str">
        <x:v>Last updated</x:v>
      </x:c>
    </x:row>
    <x:row r="5">
      <x:c r="A5" s="26" t="str">
        <x:v>COST_STAGE0</x:v>
      </x:c>
      <x:c r="B5" s="26" t="str">
        <x:v>Stage 0 feasibility and co-design cost</x:v>
      </x:c>
      <x:c r="C5" s="1346" t="n">
        <x:f>'Stage 0 - Year 0'!H54</x:f>
        <x:v>5317875</x:v>
      </x:c>
      <x:c r="D5" s="1347" t="str">
        <x:v>$5.3m</x:v>
      </x:c>
      <x:c r="E5" s="26" t="str">
        <x:v>NZD</x:v>
      </x:c>
      <x:c r="F5" s="26" t="str">
        <x:v>Year 0</x:v>
      </x:c>
      <x:c r="G5" s="26" t="str">
        <x:v>Crown cash</x:v>
      </x:c>
      <x:c r="H5" s="26" t="str">
        <x:v>Stage 0</x:v>
      </x:c>
      <x:c r="I5" s="26" t="str">
        <x:v>Not applicable</x:v>
      </x:c>
      <x:c r="J5" s="1345" t="str">
        <x:v>Planning estimate</x:v>
      </x:c>
      <x:c r="K5" s="1345" t="str">
        <x:v>Immediate decision sought</x:v>
      </x:c>
      <x:c r="L5" s="26" t="str">
        <x:v>Estimated cost of feasibility, co-design, legal, data, evaluation and full business-case development.</x:v>
      </x:c>
      <x:c r="M5" s="26" t="str">
        <x:v>It is not approval or funding for the pilot or national rollout.</x:v>
      </x:c>
      <x:c r="N5" s="26" t="str">
        <x:v>Stage 0 - Year 0</x:v>
      </x:c>
      <x:c r="O5" s="26" t="str">
        <x:v>H54</x:v>
      </x:c>
      <x:c r="P5" s="1242" t="n">
        <x:v>46215</x:v>
      </x:c>
    </x:row>
    <x:row r="6">
      <x:c r="A6" s="26" t="str">
        <x:v>COST_PILOT</x:v>
      </x:c>
      <x:c r="B6" s="26" t="str">
        <x:v>Three-year pilot cost</x:v>
      </x:c>
      <x:c r="C6" s="1346" t="n">
        <x:f>'Stage 1 - Pilot'!E6</x:f>
        <x:v>97579970.263125</x:v>
      </x:c>
      <x:c r="D6" s="1347" t="str">
        <x:v>$97.6m</x:v>
      </x:c>
      <x:c r="E6" s="26" t="str">
        <x:v>NZD</x:v>
      </x:c>
      <x:c r="F6" s="26" t="str">
        <x:v>Three years</x:v>
      </x:c>
      <x:c r="G6" s="26" t="str">
        <x:v>Crown cash</x:v>
      </x:c>
      <x:c r="H6" s="26" t="str">
        <x:v>Targeted pilot</x:v>
      </x:c>
      <x:c r="I6" s="26" t="str">
        <x:v>Not applicable</x:v>
      </x:c>
      <x:c r="J6" s="1345" t="str">
        <x:v>Planning estimate</x:v>
      </x:c>
      <x:c r="K6" s="1345" t="str">
        <x:v>Conditional on Stage 0</x:v>
      </x:c>
      <x:c r="L6" s="26" t="str">
        <x:v>Central estimated cost of the bounded independently evaluated pilot.</x:v>
      </x:c>
      <x:c r="M6" s="26" t="str">
        <x:v>It is not a commitment to national scale.</x:v>
      </x:c>
      <x:c r="N6" s="26" t="str">
        <x:v>Stage 1 - Pilot</x:v>
      </x:c>
      <x:c r="O6" s="26" t="str">
        <x:v>E6</x:v>
      </x:c>
      <x:c r="P6" s="1242" t="n">
        <x:v>46215</x:v>
      </x:c>
    </x:row>
    <x:row r="7">
      <x:c r="A7" s="26" t="str">
        <x:v>COST_CORE_ONLY</x:v>
      </x:c>
      <x:c r="B7" s="26" t="str">
        <x:v>Universal-core-only annual cost</x:v>
      </x:c>
      <x:c r="C7" s="1346" t="n">
        <x:f>'Delivery Scenarios'!G20</x:f>
        <x:v>825136870.3583333</x:v>
      </x:c>
      <x:c r="D7" s="1347" t="str">
        <x:v>$825.1m</x:v>
      </x:c>
      <x:c r="E7" s="26" t="str">
        <x:v>NZD/year</x:v>
      </x:c>
      <x:c r="F7" s="26" t="str">
        <x:v>Mature annual</x:v>
      </x:c>
      <x:c r="G7" s="26" t="str">
        <x:v>Crown cash</x:v>
      </x:c>
      <x:c r="H7" s="26" t="str">
        <x:v>Universal core only</x:v>
      </x:c>
      <x:c r="I7" s="26" t="str">
        <x:v>Not applicable</x:v>
      </x:c>
      <x:c r="J7" s="1313" t="str">
        <x:v>Scenario only</x:v>
      </x:c>
      <x:c r="K7" s="1313" t="str">
        <x:v>Scenario comparator</x:v>
      </x:c>
      <x:c r="L7" s="26" t="str">
        <x:v>Annual cost of the lower-intensity universal core without the targeted accelerator.</x:v>
      </x:c>
      <x:c r="M7" s="26" t="str">
        <x:v>It is not a tested or approved delivery design.</x:v>
      </x:c>
      <x:c r="N7" s="26" t="str">
        <x:v>Delivery Scenarios</x:v>
      </x:c>
      <x:c r="O7" s="26" t="str">
        <x:v>G20</x:v>
      </x:c>
      <x:c r="P7" s="1242" t="n">
        <x:v>46215</x:v>
      </x:c>
    </x:row>
    <x:row r="8">
      <x:c r="A8" s="26" t="str">
        <x:v>COST_CORE_TARGET</x:v>
      </x:c>
      <x:c r="B8" s="26" t="str">
        <x:v>Universal core plus targeted accelerator annual cost</x:v>
      </x:c>
      <x:c r="C8" s="1346" t="n">
        <x:f>'Delivery Scenarios'!G21</x:f>
        <x:v>875015750.3583333</x:v>
      </x:c>
      <x:c r="D8" s="1347" t="str">
        <x:v>$875.0m</x:v>
      </x:c>
      <x:c r="E8" s="26" t="str">
        <x:v>NZD/year</x:v>
      </x:c>
      <x:c r="F8" s="26" t="str">
        <x:v>Mature annual</x:v>
      </x:c>
      <x:c r="G8" s="26" t="str">
        <x:v>Crown cash</x:v>
      </x:c>
      <x:c r="H8" s="26" t="str">
        <x:v>Universal core plus targeted accelerator</x:v>
      </x:c>
      <x:c r="I8" s="26" t="str">
        <x:v>Not applicable</x:v>
      </x:c>
      <x:c r="J8" s="1313" t="str">
        <x:v>Scenario only — retained effect unproven</x:v>
      </x:c>
      <x:c r="K8" s="1313" t="str">
        <x:v>Leading testable structural scenario</x:v>
      </x:c>
      <x:c r="L8" s="26" t="str">
        <x:v>Annual cost of a lower-cost universal core combined with additional targeted support.</x:v>
      </x:c>
      <x:c r="M8" s="26" t="str">
        <x:v>It is not proven or evidence-preferred, and its retained high-risk effect has not been demonstrated.</x:v>
      </x:c>
      <x:c r="N8" s="26" t="str">
        <x:v>Delivery Scenarios</x:v>
      </x:c>
      <x:c r="O8" s="26" t="str">
        <x:v>G21</x:v>
      </x:c>
      <x:c r="P8" s="1242" t="n">
        <x:v>46215</x:v>
      </x:c>
    </x:row>
    <x:row r="9">
      <x:c r="A9" s="26" t="str">
        <x:v>COST_MATURE</x:v>
      </x:c>
      <x:c r="B9" s="26" t="str">
        <x:v>Mature full national annual cost</x:v>
      </x:c>
      <x:c r="C9" s="1346" t="n">
        <x:f>'Stage 2 - National'!K48</x:f>
        <x:v>1526137729.0833335</x:v>
      </x:c>
      <x:c r="D9" s="1347" t="str">
        <x:v>$1.526b</x:v>
      </x:c>
      <x:c r="E9" s="26" t="str">
        <x:v>NZD/year</x:v>
      </x:c>
      <x:c r="F9" s="26" t="str">
        <x:v>Mature annual</x:v>
      </x:c>
      <x:c r="G9" s="26" t="str">
        <x:v>Crown cash</x:v>
      </x:c>
      <x:c r="H9" s="26" t="str">
        <x:v>Mature national design</x:v>
      </x:c>
      <x:c r="I9" s="26" t="str">
        <x:v>Not applicable</x:v>
      </x:c>
      <x:c r="J9" s="1345" t="str">
        <x:v>Planning model</x:v>
      </x:c>
      <x:c r="K9" s="1345" t="str">
        <x:v>Planning comparator only</x:v>
      </x:c>
      <x:c r="L9" s="26" t="str">
        <x:v>Central mature annual cost of the full national architecture.</x:v>
      </x:c>
      <x:c r="M9" s="26" t="str">
        <x:v>It is not the immediate funding request or evidence that national rollout is affordable.</x:v>
      </x:c>
      <x:c r="N9" s="26" t="str">
        <x:v>Stage 2 - National</x:v>
      </x:c>
      <x:c r="O9" s="26" t="str">
        <x:v>K48</x:v>
      </x:c>
      <x:c r="P9" s="1242" t="n">
        <x:v>46215</x:v>
      </x:c>
    </x:row>
    <x:row r="10">
      <x:c r="A10" s="26" t="str">
        <x:v>COHORT_ANNUAL</x:v>
      </x:c>
      <x:c r="B10" s="26" t="str">
        <x:v>Annual eligible cohort</x:v>
      </x:c>
      <x:c r="C10" s="1348" t="n">
        <x:f>'Human Capital &amp; Earnings'!B29</x:f>
        <x:v>62348.6</x:v>
      </x:c>
      <x:c r="D10" s="1347" t="str">
        <x:v>62,349</x:v>
      </x:c>
      <x:c r="E10" s="26" t="str">
        <x:v>people</x:v>
      </x:c>
      <x:c r="F10" s="26" t="str">
        <x:v>Annual cohort</x:v>
      </x:c>
      <x:c r="G10" s="26" t="str">
        <x:v>Population</x:v>
      </x:c>
      <x:c r="H10" s="26" t="str">
        <x:v>Mature national design</x:v>
      </x:c>
      <x:c r="I10" s="26" t="str">
        <x:v>Not applicable</x:v>
      </x:c>
      <x:c r="J10" s="1345" t="str">
        <x:v>Modelled cohort alignment</x:v>
      </x:c>
      <x:c r="K10" s="1345" t="str">
        <x:v>Neutral</x:v>
      </x:c>
      <x:c r="L10" s="26" t="str">
        <x:v>One annual entrant or exit cohort aligned with one mature annual programme cost.</x:v>
      </x:c>
      <x:c r="M10" s="26" t="str">
        <x:v>It is not the five-year active student stock.</x:v>
      </x:c>
      <x:c r="N10" s="26" t="str">
        <x:v>Human Capital &amp; Earnings</x:v>
      </x:c>
      <x:c r="O10" s="26" t="str">
        <x:v>B29</x:v>
      </x:c>
      <x:c r="P10" s="1242" t="n">
        <x:v>46215</x:v>
      </x:c>
    </x:row>
    <x:row r="11">
      <x:c r="A11" s="26" t="str">
        <x:v>NEET_AVERTED</x:v>
      </x:c>
      <x:c r="B11" s="26" t="str">
        <x:v>Separately modelled averted sustained cases of not in employment, education or training (NEET)</x:v>
      </x:c>
      <x:c r="C11" s="1348" t="n">
        <x:f>'Benefits &amp; BCR'!C18</x:f>
        <x:v>1402.8434999999997</x:v>
      </x:c>
      <x:c r="D11" s="1347" t="str">
        <x:v>1,403</x:v>
      </x:c>
      <x:c r="E11" s="26" t="str">
        <x:v>people</x:v>
      </x:c>
      <x:c r="F11" s="26" t="str">
        <x:v>Annual cohort</x:v>
      </x:c>
      <x:c r="G11" s="26" t="str">
        <x:v>National social</x:v>
      </x:c>
      <x:c r="H11" s="26" t="str">
        <x:v>Mature national design</x:v>
      </x:c>
      <x:c r="I11" s="26" t="str">
        <x:v>Not applicable</x:v>
      </x:c>
      <x:c r="J11" s="1345" t="str">
        <x:v>Modelled sensitivity</x:v>
      </x:c>
      <x:c r="K11" s="1313" t="str">
        <x:v>Scenario — not demonstrated</x:v>
      </x:c>
      <x:c r="L11" s="26" t="str">
        <x:v>High-risk sustained-NEET cases are modelled separately from the broad whole-cohort earnings pathway.</x:v>
      </x:c>
      <x:c r="M11" s="26" t="str">
        <x:v>It is not a measured programme outcome or the full number of young people who may benefit.</x:v>
      </x:c>
      <x:c r="N11" s="26" t="str">
        <x:v>Benefits &amp; BCR</x:v>
      </x:c>
      <x:c r="O11" s="26" t="str">
        <x:v>C18</x:v>
      </x:c>
      <x:c r="P11" s="1242" t="n">
        <x:v>46215</x:v>
      </x:c>
    </x:row>
    <x:row r="12">
      <x:c r="A12" s="26" t="str">
        <x:v>EARN_UPLIFT_1</x:v>
      </x:c>
      <x:c r="B12" s="26" t="str">
        <x:v>Affected-population earnings uplift example</x:v>
      </x:c>
      <x:c r="C12" s="1349" t="n">
        <x:f>'Human Capital &amp; Earnings'!A99</x:f>
        <x:v>0.01</x:v>
      </x:c>
      <x:c r="D12" s="1347" t="str">
        <x:v>1.0%</x:v>
      </x:c>
      <x:c r="E12" s="26" t="str">
        <x:v>%</x:v>
      </x:c>
      <x:c r="F12" s="26" t="str">
        <x:v>Working-life sensitivity</x:v>
      </x:c>
      <x:c r="G12" s="26" t="str">
        <x:v>National social</x:v>
      </x:c>
      <x:c r="H12" s="26" t="str">
        <x:v>Mature national design</x:v>
      </x:c>
      <x:c r="I12" s="26" t="str">
        <x:v>2% social / 4% fiscal views</x:v>
      </x:c>
      <x:c r="J12" s="1345" t="str">
        <x:v>Sensitivity only</x:v>
      </x:c>
      <x:c r="K12" s="1313" t="str">
        <x:v>Scenario — not forecast</x:v>
      </x:c>
      <x:c r="L12" s="26" t="str">
        <x:v>A one-percent earnings uplift applied only to the effective affected employed population.</x:v>
      </x:c>
      <x:c r="M12" s="26" t="str">
        <x:v>It does not apply uniformly to every student.</x:v>
      </x:c>
      <x:c r="N12" s="26" t="str">
        <x:v>Human Capital &amp; Earnings</x:v>
      </x:c>
      <x:c r="O12" s="26" t="str">
        <x:v>A99</x:v>
      </x:c>
      <x:c r="P12" s="1242" t="n">
        <x:v>46215</x:v>
      </x:c>
    </x:row>
    <x:row r="13">
      <x:c r="A13" s="26" t="str">
        <x:v>COHORT_EQUIV_1</x:v>
      </x:c>
      <x:c r="B13" s="26" t="str">
        <x:v>Full-cohort equivalent of the 1% affected-population uplift</x:v>
      </x:c>
      <x:c r="C13" s="1349" t="n">
        <x:f>'Human Capital &amp; Earnings'!D141</x:f>
        <x:v>0.0016197077249999999</x:v>
      </x:c>
      <x:c r="D13" s="1347" t="str">
        <x:v>0.162%</x:v>
      </x:c>
      <x:c r="E13" s="26" t="str">
        <x:v>%</x:v>
      </x:c>
      <x:c r="F13" s="26" t="str">
        <x:v>Annual cohort equivalent</x:v>
      </x:c>
      <x:c r="G13" s="26" t="str">
        <x:v>Public explanation</x:v>
      </x:c>
      <x:c r="H13" s="26" t="str">
        <x:v>Mature national design</x:v>
      </x:c>
      <x:c r="I13" s="26" t="str">
        <x:v>Not applicable</x:v>
      </x:c>
      <x:c r="J13" s="1345" t="str">
        <x:v>Calculated equivalent</x:v>
      </x:c>
      <x:c r="K13" s="1345" t="str">
        <x:v>Neutral explanation</x:v>
      </x:c>
      <x:c r="L13" s="26" t="str">
        <x:v>The same total modelled earnings value expressed as an average across the full annual eligible cohort.</x:v>
      </x:c>
      <x:c r="M13" s="26" t="str">
        <x:v>It is not a measured uniform effect for every student and is not an additional benefit.</x:v>
      </x:c>
      <x:c r="N13" s="26" t="str">
        <x:v>Human Capital &amp; Earnings</x:v>
      </x:c>
      <x:c r="O13" s="26" t="str">
        <x:v>D141</x:v>
      </x:c>
      <x:c r="P13" s="1242" t="n">
        <x:v>46215</x:v>
      </x:c>
    </x:row>
    <x:row r="14">
      <x:c r="A14" s="26" t="str">
        <x:v>EARNINGS_PV_1</x:v>
      </x:c>
      <x:c r="B14" s="26" t="str">
        <x:v>Lifetime earnings present value at the 1% sensitivity</x:v>
      </x:c>
      <x:c r="C14" s="1346" t="n">
        <x:f>'Human Capital &amp; Earnings'!C99</x:f>
        <x:v>196036293.8565092</x:v>
      </x:c>
      <x:c r="D14" s="1347" t="str">
        <x:v>$196.0m</x:v>
      </x:c>
      <x:c r="E14" s="26" t="str">
        <x:v>NZD PV</x:v>
      </x:c>
      <x:c r="F14" s="26" t="str">
        <x:v>Working life</x:v>
      </x:c>
      <x:c r="G14" s="26" t="str">
        <x:v>National social</x:v>
      </x:c>
      <x:c r="H14" s="26" t="str">
        <x:v>Mature national design</x:v>
      </x:c>
      <x:c r="I14" s="26" t="str">
        <x:v>2%</x:v>
      </x:c>
      <x:c r="J14" s="1345" t="str">
        <x:v>Sensitivity only</x:v>
      </x:c>
      <x:c r="K14" s="1313" t="str">
        <x:v>Scenario — not forecast</x:v>
      </x:c>
      <x:c r="L14" s="26" t="str">
        <x:v>Present value of the modelled lifetime earnings uplift for the effective affected employed population.</x:v>
      </x:c>
      <x:c r="M14" s="26" t="str">
        <x:v>It is not Crown cash revenue or a demonstrated programme outcome.</x:v>
      </x:c>
      <x:c r="N14" s="26" t="str">
        <x:v>Human Capital &amp; Earnings</x:v>
      </x:c>
      <x:c r="O14" s="26" t="str">
        <x:v>C99</x:v>
      </x:c>
      <x:c r="P14" s="1242" t="n">
        <x:v>46215</x:v>
      </x:c>
    </x:row>
    <x:row r="15">
      <x:c r="A15" s="26" t="str">
        <x:v>BCR_FULL_1</x:v>
      </x:c>
      <x:c r="B15" s="26" t="str">
        <x:v>Full-expenditure social-investment BCR at the 1% sensitivity</x:v>
      </x:c>
      <x:c r="C15" s="1351" t="n">
        <x:f>'Human Capital &amp; Earnings'!J99</x:f>
        <x:v>0.3817901563689555</x:v>
      </x:c>
      <x:c r="D15" s="1352" t="str">
        <x:v>0.382x</x:v>
      </x:c>
      <x:c r="E15" s="26" t="str">
        <x:v>x</x:v>
      </x:c>
      <x:c r="F15" s="26" t="str">
        <x:v>Lifetime PV versus aligned annual cost</x:v>
      </x:c>
      <x:c r="G15" s="26" t="str">
        <x:v>National social</x:v>
      </x:c>
      <x:c r="H15" s="26" t="str">
        <x:v>Mature national design</x:v>
      </x:c>
      <x:c r="I15" s="26" t="str">
        <x:v>2%</x:v>
      </x:c>
      <x:c r="J15" s="1345" t="str">
        <x:v>Sensitivity only</x:v>
      </x:c>
      <x:c r="K15" s="1350" t="str">
        <x:v>Below 1.00x — principal public BCR</x:v>
      </x:c>
      <x:c r="L15" s="26" t="str">
        <x:v>Principal public value-for-money result: included national benefits divided by the full mature annual public expenditure envelope.</x:v>
      </x:c>
      <x:c r="M15" s="26" t="str">
        <x:v>It is not Crown fiscal recovery or a guaranteed investment return.</x:v>
      </x:c>
      <x:c r="N15" s="26" t="str">
        <x:v>Human Capital &amp; Earnings</x:v>
      </x:c>
      <x:c r="O15" s="26" t="str">
        <x:v>J99</x:v>
      </x:c>
      <x:c r="P15" s="1242" t="n">
        <x:v>46215</x:v>
      </x:c>
    </x:row>
    <x:row r="16">
      <x:c r="A16" s="26" t="str">
        <x:v>BCR_TRANSFER_1</x:v>
      </x:c>
      <x:c r="B16" s="26" t="str">
        <x:v>Provisional alternative economic treatment of participant transfers — not Treasury-confirmed</x:v>
      </x:c>
      <x:c r="C16" s="1353" t="n">
        <x:f>'Human Capital &amp; Earnings'!O99</x:f>
        <x:v>1.8775030857228854</x:v>
      </x:c>
      <x:c r="D16" s="1354" t="str">
        <x:v>Technical calculation only</x:v>
      </x:c>
      <x:c r="E16" s="26" t="str">
        <x:v>x</x:v>
      </x:c>
      <x:c r="F16" s="26" t="str">
        <x:v>Lifetime PV versus provisional resource cost</x:v>
      </x:c>
      <x:c r="G16" s="26" t="str">
        <x:v>Technical national economic sensitivity</x:v>
      </x:c>
      <x:c r="H16" s="26" t="str">
        <x:v>Mature national design — technical only</x:v>
      </x:c>
      <x:c r="I16" s="26" t="str">
        <x:v>2%</x:v>
      </x:c>
      <x:c r="J16" s="1313" t="str">
        <x:v>Provisional methodology — Treasury confirmation required</x:v>
      </x:c>
      <x:c r="K16" s="1313" t="str">
        <x:v>Provisional methodology — Treasury confirmation required</x:v>
      </x:c>
      <x:c r="L16" s="26" t="str">
        <x:v>An alternative economic treatment of participant transfers may produce a materially different result, but that methodology requires Treasury or independent economic confirmation and is not used as the principal public value-for-money result.</x:v>
      </x:c>
      <x:c r="M16" s="26"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N16" s="26" t="str">
        <x:v>Human Capital &amp; Earnings</x:v>
      </x:c>
      <x:c r="O16" s="26" t="str">
        <x:v>O99</x:v>
      </x:c>
      <x:c r="P16" s="1242" t="n">
        <x:v>46215</x:v>
      </x:c>
    </x:row>
    <x:row r="17">
      <x:c r="A17" s="26" t="str">
        <x:v>ROI_SOCIAL_1</x:v>
      </x:c>
      <x:c r="B17" s="26" t="str">
        <x:v>Conventional net social ROI at the 1% sensitivity</x:v>
      </x:c>
      <x:c r="C17" s="1355" t="n">
        <x:f>'Human Capital &amp; Earnings'!J99-1</x:f>
        <x:v>-0.6182098436310445</x:v>
      </x:c>
      <x:c r="D17" s="1352" t="str">
        <x:v>-61.8%</x:v>
      </x:c>
      <x:c r="E17" s="26" t="str">
        <x:v>%</x:v>
      </x:c>
      <x:c r="F17" s="26" t="str">
        <x:v>Lifetime PV versus aligned annual cost</x:v>
      </x:c>
      <x:c r="G17" s="26" t="str">
        <x:v>National social</x:v>
      </x:c>
      <x:c r="H17" s="26" t="str">
        <x:v>Mature national design</x:v>
      </x:c>
      <x:c r="I17" s="26" t="str">
        <x:v>2%</x:v>
      </x:c>
      <x:c r="J17" s="1345" t="str">
        <x:v>Derived from full-expenditure BCR</x:v>
      </x:c>
      <x:c r="K17" s="1350" t="str">
        <x:v>Negative</x:v>
      </x:c>
      <x:c r="L17" s="26" t="str">
        <x:v>Full-expenditure social BCR minus one, expressed as a percentage.</x:v>
      </x:c>
      <x:c r="M17" s="26" t="str">
        <x:v>It is not Government profit, cash yield or participant investment return.</x:v>
      </x:c>
      <x:c r="N17" s="26" t="str">
        <x:v>Human Capital &amp; Earnings</x:v>
      </x:c>
      <x:c r="O17" s="26" t="str">
        <x:v>J99 − 1</x:v>
      </x:c>
      <x:c r="P17" s="1242" t="n">
        <x:v>46215</x:v>
      </x:c>
    </x:row>
    <x:row r="18">
      <x:c r="A18" s="26" t="str">
        <x:v>FISCAL_COVERAGE_1</x:v>
      </x:c>
      <x:c r="B18" s="26" t="str">
        <x:v>Crown fiscal coverage at the 1% sensitivity — 2% lead case</x:v>
      </x:c>
      <x:c r="C18" s="1355" t="n">
        <x:f>('Human Capital &amp; Earnings'!$E$116+'Human Capital &amp; Earnings'!$H$116+'Human Capital &amp; Earnings'!$I$116+'Delivery Scenarios'!$K$23)/'Human Capital &amp; Earnings'!$C$116</x:f>
        <x:v>0.15307249872414824</x:v>
      </x:c>
      <x:c r="D18" s="1352" t="str">
        <x:v>15.3%</x:v>
      </x:c>
      <x:c r="E18" s="26" t="str">
        <x:v>%</x:v>
      </x:c>
      <x:c r="F18" s="26" t="str">
        <x:v>Lifetime PV versus aligned expenditure</x:v>
      </x:c>
      <x:c r="G18" s="26" t="str">
        <x:v>Crown fiscal</x:v>
      </x:c>
      <x:c r="H18" s="26" t="str">
        <x:v>Mature national design</x:v>
      </x:c>
      <x:c r="I18" s="26" t="str">
        <x:v>2% Treasury-aligned lead case</x:v>
      </x:c>
      <x:c r="J18" s="1345" t="str">
        <x:v>Sensitivity only</x:v>
      </x:c>
      <x:c r="K18" s="1350" t="str">
        <x:v>Below 100%</x:v>
      </x:c>
      <x:c r="L18" s="26" t="str">
        <x:v>Valid Crown tax, ACC, benefit and student-loan offsets divided by full Crown expenditure using the 2% lead present-value case.</x:v>
      </x:c>
      <x:c r="M18" s="26" t="str">
        <x:v>It does not measure all participant or national social value.</x:v>
      </x:c>
      <x:c r="N18" s="26" t="str">
        <x:v>Human Capital &amp; Earnings</x:v>
      </x:c>
      <x:c r="O18" s="26" t="str">
        <x:v>(E116 + H116 + I116 + committed funding) ÷ C116</x:v>
      </x:c>
      <x:c r="P18" s="1242" t="n">
        <x:v>46215</x:v>
      </x:c>
    </x:row>
    <x:row r="19">
      <x:c r="A19" s="26" t="str">
        <x:v>ROI_FISCAL_1</x:v>
      </x:c>
      <x:c r="B19" s="26" t="str">
        <x:v>Conventional net Crown fiscal ROI at the 1% sensitivity — 2% lead case</x:v>
      </x:c>
      <x:c r="C19" s="1355" t="n">
        <x:f>('Human Capital &amp; Earnings'!$E$116+'Human Capital &amp; Earnings'!$H$116+'Human Capital &amp; Earnings'!$I$116+'Delivery Scenarios'!$K$23)/'Human Capital &amp; Earnings'!$C$116-1</x:f>
        <x:v>-0.8469275012758517</x:v>
      </x:c>
      <x:c r="D19" s="1352" t="str">
        <x:v>-84.7%</x:v>
      </x:c>
      <x:c r="E19" s="26" t="str">
        <x:v>%</x:v>
      </x:c>
      <x:c r="F19" s="26" t="str">
        <x:v>Lifetime PV versus aligned expenditure</x:v>
      </x:c>
      <x:c r="G19" s="26" t="str">
        <x:v>Crown fiscal</x:v>
      </x:c>
      <x:c r="H19" s="26" t="str">
        <x:v>Mature national design</x:v>
      </x:c>
      <x:c r="I19" s="26" t="str">
        <x:v>2% Treasury-aligned lead case</x:v>
      </x:c>
      <x:c r="J19" s="1345" t="str">
        <x:v>Derived from 2% fiscal coverage</x:v>
      </x:c>
      <x:c r="K19" s="1350" t="str">
        <x:v>Negative</x:v>
      </x:c>
      <x:c r="L19" s="26" t="str">
        <x:v>Crown fiscal coverage at 2% minus one, expressed as a percentage.</x:v>
      </x:c>
      <x:c r="M19" s="26" t="str">
        <x:v>It is not the national social return or Government profit.</x:v>
      </x:c>
      <x:c r="N19" s="26" t="str">
        <x:v>Human Capital &amp; Earnings</x:v>
      </x:c>
      <x:c r="O19" s="26" t="str">
        <x:v>2% Crown fiscal coverage − 1</x:v>
      </x:c>
      <x:c r="P19" s="1242" t="n">
        <x:v>46215</x:v>
      </x:c>
    </x:row>
    <x:row r="20">
      <x:c r="A20" s="26" t="str">
        <x:v>NET_FISCAL_COST_1</x:v>
      </x:c>
      <x:c r="B20" s="26" t="str">
        <x:v>Net Crown fiscal cost at the 1% sensitivity — 2% lead case</x:v>
      </x:c>
      <x:c r="C20" s="1356" t="n">
        <x:f>'Human Capital &amp; Earnings'!$C$116-('Human Capital &amp; Earnings'!$E$116+'Human Capital &amp; Earnings'!$H$116+'Human Capital &amp; Earnings'!$I$116+'Delivery Scenarios'!$K$23)</x:f>
        <x:v>1292528013.4953504</x:v>
      </x:c>
      <x:c r="D20" s="1352" t="str">
        <x:v>$1.293b</x:v>
      </x:c>
      <x:c r="E20" s="26" t="str">
        <x:v>NZD</x:v>
      </x:c>
      <x:c r="F20" s="26" t="str">
        <x:v>Aligned annual cohort</x:v>
      </x:c>
      <x:c r="G20" s="26" t="str">
        <x:v>Crown fiscal</x:v>
      </x:c>
      <x:c r="H20" s="26" t="str">
        <x:v>Mature national design</x:v>
      </x:c>
      <x:c r="I20" s="26" t="str">
        <x:v>2% Treasury-aligned lead case</x:v>
      </x:c>
      <x:c r="J20" s="1345" t="str">
        <x:v>Sensitivity only</x:v>
      </x:c>
      <x:c r="K20" s="1350" t="str">
        <x:v>Net fiscal loss</x:v>
      </x:c>
      <x:c r="L20" s="26" t="str">
        <x:v>Full mature annual expenditure less valid Crown fiscal offsets using the 2% lead present-value case.</x:v>
      </x:c>
      <x:c r="M20" s="26" t="str">
        <x:v>It does not subtract participant or social benefits that do not become Crown cash.</x:v>
      </x:c>
      <x:c r="N20" s="26" t="str">
        <x:v>Human Capital &amp; Earnings</x:v>
      </x:c>
      <x:c r="O20" s="26" t="str">
        <x:v>C116 − (E116 + H116 + I116 + committed funding)</x:v>
      </x:c>
      <x:c r="P20" s="1242" t="n">
        <x:v>46215</x:v>
      </x:c>
    </x:row>
    <x:row r="21">
      <x:c r="A21" s="26" t="str">
        <x:v>BREAK_EVEN_SOCIAL_MATURE</x:v>
      </x:c>
      <x:c r="B21" s="26" t="str">
        <x:v>Mature full-expenditure social break-even earnings uplift</x:v>
      </x:c>
      <x:c r="C21" s="1357" t="n">
        <x:f>'Human Capital &amp; Earnings'!J116</x:f>
        <x:v>0.058127484370145754</x:v>
      </x:c>
      <x:c r="D21" s="1354" t="str">
        <x:v>5.8%</x:v>
      </x:c>
      <x:c r="E21" s="26" t="str">
        <x:v>%</x:v>
      </x:c>
      <x:c r="F21" s="26" t="str">
        <x:v>Working-life sensitivity</x:v>
      </x:c>
      <x:c r="G21" s="26" t="str">
        <x:v>National social</x:v>
      </x:c>
      <x:c r="H21" s="26" t="str">
        <x:v>Mature national design</x:v>
      </x:c>
      <x:c r="I21" s="26" t="str">
        <x:v>2%</x:v>
      </x:c>
      <x:c r="J21" s="1345" t="str">
        <x:v>Reverse-calculated sensitivity</x:v>
      </x:c>
      <x:c r="K21" s="1313" t="str">
        <x:v>Evidence hurdle</x:v>
      </x:c>
      <x:c r="L21" s="26" t="str">
        <x:v>Affected-population earnings uplift required for the mature full-expenditure BCR to reach 1.00x.</x:v>
      </x:c>
      <x:c r="M21" s="26" t="str">
        <x:v>It is not a forecast or a full-cohort percentage.</x:v>
      </x:c>
      <x:c r="N21" s="26" t="str">
        <x:v>Human Capital &amp; Earnings</x:v>
      </x:c>
      <x:c r="O21" s="26" t="str">
        <x:v>J116</x:v>
      </x:c>
      <x:c r="P21" s="1242" t="n">
        <x:v>46215</x:v>
      </x:c>
    </x:row>
    <x:row r="22">
      <x:c r="A22" s="26" t="str">
        <x:v>BREAK_EVEN_CROWN_MATURE</x:v>
      </x:c>
      <x:c r="B22" s="26" t="str">
        <x:v>Mature Crown fiscal break-even earnings uplift — 2% lead case</x:v>
      </x:c>
      <x:c r="C22" s="1357" t="n">
        <x:f>'Human Capital &amp; Earnings'!K116</x:f>
        <x:v>0.21211870542530076</x:v>
      </x:c>
      <x:c r="D22" s="1354" t="str">
        <x:v>21.2%</x:v>
      </x:c>
      <x:c r="E22" s="26" t="str">
        <x:v>%</x:v>
      </x:c>
      <x:c r="F22" s="26" t="str">
        <x:v>Working-life sensitivity</x:v>
      </x:c>
      <x:c r="G22" s="26" t="str">
        <x:v>Crown fiscal</x:v>
      </x:c>
      <x:c r="H22" s="26" t="str">
        <x:v>Mature national design</x:v>
      </x:c>
      <x:c r="I22" s="26" t="str">
        <x:v>2% Treasury-aligned lead case</x:v>
      </x:c>
      <x:c r="J22" s="1345" t="str">
        <x:v>Reverse-calculated sensitivity</x:v>
      </x:c>
      <x:c r="K22" s="1313" t="str">
        <x:v>Evidence hurdle</x:v>
      </x:c>
      <x:c r="L22" s="26" t="str">
        <x:v>Affected-population earnings uplift required for Crown fiscal coverage to reach 100% under the 2% lead case.</x:v>
      </x:c>
      <x:c r="M22" s="26" t="str">
        <x:v>It is not the social break-even threshold or a forecast.</x:v>
      </x:c>
      <x:c r="N22" s="26" t="str">
        <x:v>Human Capital &amp; Earnings</x:v>
      </x:c>
      <x:c r="O22" s="26" t="str">
        <x:v>K116</x:v>
      </x:c>
      <x:c r="P22" s="1242" t="n">
        <x:v>46215</x:v>
      </x:c>
    </x:row>
    <x:row r="23">
      <x:c r="A23" s="26" t="str">
        <x:v>FISCAL_COVERAGE_4_TECH</x:v>
      </x:c>
      <x:c r="B23" s="26" t="str">
        <x:v>Crown fiscal coverage — 4% intermediate sensitivity</x:v>
      </x:c>
      <x:c r="C23" s="1349" t="n">
        <x:f>'Human Capital &amp; Earnings'!M99</x:f>
        <x:v>0.13913014189776074</x:v>
      </x:c>
      <x:c r="D23" s="1347" t="str">
        <x:v>13.9%</x:v>
      </x:c>
      <x:c r="E23" s="26" t="str">
        <x:v>%</x:v>
      </x:c>
      <x:c r="F23" s="26" t="str">
        <x:v>Lifetime PV versus aligned expenditure</x:v>
      </x:c>
      <x:c r="G23" s="26" t="str">
        <x:v>Crown fiscal technical sensitivity</x:v>
      </x:c>
      <x:c r="H23" s="26" t="str">
        <x:v>Mature national design</x:v>
      </x:c>
      <x:c r="I23" s="26" t="str">
        <x:v>4% intermediate sensitivity</x:v>
      </x:c>
      <x:c r="J23" s="1313" t="str">
        <x:v>Technical sensitivity</x:v>
      </x:c>
      <x:c r="K23" s="1350" t="str">
        <x:v>Intermediate sensitivity — below 100%</x:v>
      </x:c>
      <x:c r="L23" s="26" t="str">
        <x:v>Crown fiscal coverage recalculated using the 4% intermediate analytical sensitivity.</x:v>
      </x:c>
      <x:c r="M23" s="26" t="str">
        <x:v>It is not the principal public Crown fiscal result.</x:v>
      </x:c>
      <x:c r="N23" s="26" t="str">
        <x:v>Human Capital &amp; Earnings</x:v>
      </x:c>
      <x:c r="O23" s="26" t="str">
        <x:v>M99</x:v>
      </x:c>
      <x:c r="P23" s="1242" t="n">
        <x:v>46215</x:v>
      </x:c>
    </x:row>
    <x:row r="24">
      <x:c r="A24" s="26" t="str">
        <x:v>FISCAL_COVERAGE_8_TECH</x:v>
      </x:c>
      <x:c r="B24" s="26" t="str">
        <x:v>Crown fiscal coverage — 8% high sensitivity</x:v>
      </x:c>
      <x:c r="C24" s="1349" t="n">
        <x:f>('Human Capital &amp; Earnings'!$E$118+'Human Capital &amp; Earnings'!$H$118+'Human Capital &amp; Earnings'!$I$118+'Delivery Scenarios'!$K$23)/'Human Capital &amp; Earnings'!$C$118</x:f>
        <x:v>0.1257397099577856</x:v>
      </x:c>
      <x:c r="D24" s="1347" t="str">
        <x:v>12.6%</x:v>
      </x:c>
      <x:c r="E24" s="26" t="str">
        <x:v>%</x:v>
      </x:c>
      <x:c r="F24" s="26" t="str">
        <x:v>Lifetime PV versus aligned expenditure</x:v>
      </x:c>
      <x:c r="G24" s="26" t="str">
        <x:v>Crown fiscal technical sensitivity</x:v>
      </x:c>
      <x:c r="H24" s="26" t="str">
        <x:v>Mature national design</x:v>
      </x:c>
      <x:c r="I24" s="26" t="str">
        <x:v>8% high sensitivity</x:v>
      </x:c>
      <x:c r="J24" s="1313" t="str">
        <x:v>Technical sensitivity</x:v>
      </x:c>
      <x:c r="K24" s="1350" t="str">
        <x:v>High sensitivity — below 100%</x:v>
      </x:c>
      <x:c r="L24" s="26" t="str">
        <x:v>Crown fiscal coverage recalculated using the 8% high analytical sensitivity.</x:v>
      </x:c>
      <x:c r="M24" s="26" t="str">
        <x:v>It is not the principal public Crown fiscal result.</x:v>
      </x:c>
      <x:c r="N24" s="26" t="str">
        <x:v>Human Capital &amp; Earnings</x:v>
      </x:c>
      <x:c r="O24" s="26" t="str">
        <x:v>(E118 + H118 + I118 + committed funding) ÷ C118</x:v>
      </x:c>
      <x:c r="P24" s="1242" t="n">
        <x:v>46215</x:v>
      </x:c>
    </x:row>
    <x:row r="25">
      <x:c r="A25" s="26" t="str">
        <x:v>ROI_FISCAL_4_TECH</x:v>
      </x:c>
      <x:c r="B25" s="26" t="str">
        <x:v>Net Crown fiscal ROI — 4% intermediate sensitivity</x:v>
      </x:c>
      <x:c r="C25" s="1349" t="n">
        <x:f>'Human Capital &amp; Earnings'!M99-1</x:f>
        <x:v>-0.8608698581022393</x:v>
      </x:c>
      <x:c r="D25" s="1347" t="str">
        <x:v>-86.1%</x:v>
      </x:c>
      <x:c r="E25" s="26" t="str">
        <x:v>%</x:v>
      </x:c>
      <x:c r="F25" s="26" t="str">
        <x:v>Lifetime PV versus aligned expenditure</x:v>
      </x:c>
      <x:c r="G25" s="26" t="str">
        <x:v>Crown fiscal technical sensitivity</x:v>
      </x:c>
      <x:c r="H25" s="26" t="str">
        <x:v>Mature national design</x:v>
      </x:c>
      <x:c r="I25" s="26" t="str">
        <x:v>4% intermediate sensitivity</x:v>
      </x:c>
      <x:c r="J25" s="1313" t="str">
        <x:v>Derived technical sensitivity</x:v>
      </x:c>
      <x:c r="K25" s="1350" t="str">
        <x:v>Intermediate sensitivity — negative</x:v>
      </x:c>
      <x:c r="L25" s="26" t="str">
        <x:v>The 4% intermediate fiscal coverage multiple minus one.</x:v>
      </x:c>
      <x:c r="M25" s="26" t="str">
        <x:v>It is not the principal public Crown fiscal ROI.</x:v>
      </x:c>
      <x:c r="N25" s="26" t="str">
        <x:v>Human Capital &amp; Earnings</x:v>
      </x:c>
      <x:c r="O25" s="26" t="str">
        <x:v>M99 − 1</x:v>
      </x:c>
      <x:c r="P25" s="1242" t="n">
        <x:v>46215</x:v>
      </x:c>
    </x:row>
    <x:row r="26">
      <x:c r="A26" s="26" t="str">
        <x:v>ROI_FISCAL_8_TECH</x:v>
      </x:c>
      <x:c r="B26" s="26" t="str">
        <x:v>Net Crown fiscal ROI — 8% high sensitivity</x:v>
      </x:c>
      <x:c r="C26" s="1349" t="n">
        <x:f>('Human Capital &amp; Earnings'!$E$118+'Human Capital &amp; Earnings'!$H$118+'Human Capital &amp; Earnings'!$I$118+'Delivery Scenarios'!$K$23)/'Human Capital &amp; Earnings'!$C$118-1</x:f>
        <x:v>-0.8742602900422144</x:v>
      </x:c>
      <x:c r="D26" s="1347" t="str">
        <x:v>-87.4%</x:v>
      </x:c>
      <x:c r="E26" s="26" t="str">
        <x:v>%</x:v>
      </x:c>
      <x:c r="F26" s="26" t="str">
        <x:v>Lifetime PV versus aligned expenditure</x:v>
      </x:c>
      <x:c r="G26" s="26" t="str">
        <x:v>Crown fiscal technical sensitivity</x:v>
      </x:c>
      <x:c r="H26" s="26" t="str">
        <x:v>Mature national design</x:v>
      </x:c>
      <x:c r="I26" s="26" t="str">
        <x:v>8% high sensitivity</x:v>
      </x:c>
      <x:c r="J26" s="1313" t="str">
        <x:v>Derived technical sensitivity</x:v>
      </x:c>
      <x:c r="K26" s="1350" t="str">
        <x:v>High sensitivity — negative</x:v>
      </x:c>
      <x:c r="L26" s="26" t="str">
        <x:v>The 8% high-sensitivity fiscal coverage multiple minus one.</x:v>
      </x:c>
      <x:c r="M26" s="26" t="str">
        <x:v>It is not the principal public Crown fiscal ROI.</x:v>
      </x:c>
      <x:c r="N26" s="26" t="str">
        <x:v>Human Capital &amp; Earnings</x:v>
      </x:c>
      <x:c r="O26" s="26" t="str">
        <x:v>8% Crown fiscal coverage − 1</x:v>
      </x:c>
      <x:c r="P26" s="1242" t="n">
        <x:v>46215</x:v>
      </x:c>
    </x:row>
    <x:row r="27">
      <x:c r="A27" s="26" t="str">
        <x:v>NET_FISCAL_COST_4_TECH</x:v>
      </x:c>
      <x:c r="B27" s="26" t="str">
        <x:v>Net Crown fiscal cost — 4% intermediate sensitivity</x:v>
      </x:c>
      <x:c r="C27" s="1346" t="n">
        <x:f>'Stage 2 - National'!K48*(1-'Human Capital &amp; Earnings'!M99)</x:f>
        <x:v>1313805970.280443</x:v>
      </x:c>
      <x:c r="D27" s="1347" t="str">
        <x:v>$1.314b</x:v>
      </x:c>
      <x:c r="E27" s="26" t="str">
        <x:v>NZD</x:v>
      </x:c>
      <x:c r="F27" s="26" t="str">
        <x:v>Aligned annual cohort</x:v>
      </x:c>
      <x:c r="G27" s="26" t="str">
        <x:v>Crown fiscal technical sensitivity</x:v>
      </x:c>
      <x:c r="H27" s="26" t="str">
        <x:v>Mature national design</x:v>
      </x:c>
      <x:c r="I27" s="26" t="str">
        <x:v>4% intermediate sensitivity</x:v>
      </x:c>
      <x:c r="J27" s="1313" t="str">
        <x:v>Technical sensitivity</x:v>
      </x:c>
      <x:c r="K27" s="1350" t="str">
        <x:v>Intermediate sensitivity — net fiscal loss</x:v>
      </x:c>
      <x:c r="L27" s="26" t="str">
        <x:v>Full mature annual expenditure less valid Crown fiscal offsets at the 4% intermediate sensitivity.</x:v>
      </x:c>
      <x:c r="M27" s="26" t="str">
        <x:v>It is not the principal public net Crown fiscal cost.</x:v>
      </x:c>
      <x:c r="N27" s="26" t="str">
        <x:v>Stage 2 - National / Human Capital &amp; Earnings</x:v>
      </x:c>
      <x:c r="O27" s="26" t="str">
        <x:v>K48 × (1 − M99)</x:v>
      </x:c>
      <x:c r="P27" s="1242" t="n">
        <x:v>46215</x:v>
      </x:c>
    </x:row>
    <x:row r="28">
      <x:c r="A28" s="26" t="str">
        <x:v>NET_FISCAL_COST_8_TECH</x:v>
      </x:c>
      <x:c r="B28" s="26" t="str">
        <x:v>Net Crown fiscal cost — 8% high sensitivity</x:v>
      </x:c>
      <x:c r="C28" s="1346" t="n">
        <x:f>'Human Capital &amp; Earnings'!$C$118-('Human Capital &amp; Earnings'!$E$118+'Human Capital &amp; Earnings'!$H$118+'Human Capital &amp; Earnings'!$I$118+'Delivery Scenarios'!$K$23)</x:f>
        <x:v>1334241613.6727614</x:v>
      </x:c>
      <x:c r="D28" s="1347" t="str">
        <x:v>$1.334b</x:v>
      </x:c>
      <x:c r="E28" s="26" t="str">
        <x:v>NZD</x:v>
      </x:c>
      <x:c r="F28" s="26" t="str">
        <x:v>Aligned annual cohort</x:v>
      </x:c>
      <x:c r="G28" s="26" t="str">
        <x:v>Crown fiscal technical sensitivity</x:v>
      </x:c>
      <x:c r="H28" s="26" t="str">
        <x:v>Mature national design</x:v>
      </x:c>
      <x:c r="I28" s="26" t="str">
        <x:v>8% high sensitivity</x:v>
      </x:c>
      <x:c r="J28" s="1313" t="str">
        <x:v>Technical sensitivity</x:v>
      </x:c>
      <x:c r="K28" s="1350" t="str">
        <x:v>High sensitivity — net fiscal loss</x:v>
      </x:c>
      <x:c r="L28" s="26" t="str">
        <x:v>Full mature annual expenditure less valid Crown fiscal offsets at the 8% high sensitivity.</x:v>
      </x:c>
      <x:c r="M28" s="26" t="str">
        <x:v>It is not the principal public net Crown fiscal cost.</x:v>
      </x:c>
      <x:c r="N28" s="26" t="str">
        <x:v>Human Capital &amp; Earnings</x:v>
      </x:c>
      <x:c r="O28" s="26" t="str">
        <x:v>C118 − (E118 + H118 + I118 + committed funding)</x:v>
      </x:c>
      <x:c r="P28" s="1242" t="n">
        <x:v>46215</x:v>
      </x:c>
    </x:row>
    <x:row r="29">
      <x:c r="A29" s="26" t="str">
        <x:v>BREAK_EVEN_CROWN_4_TECH</x:v>
      </x:c>
      <x:c r="B29" s="26" t="str">
        <x:v>Crown fiscal break-even earnings uplift — 4% intermediate sensitivity</x:v>
      </x:c>
      <x:c r="C29" s="1349" t="n">
        <x:f>'Human Capital &amp; Earnings'!K117</x:f>
        <x:v>0.3174347047868822</x:v>
      </x:c>
      <x:c r="D29" s="1347" t="str">
        <x:v>31.7%</x:v>
      </x:c>
      <x:c r="E29" s="26" t="str">
        <x:v>%</x:v>
      </x:c>
      <x:c r="F29" s="26" t="str">
        <x:v>Working-life sensitivity</x:v>
      </x:c>
      <x:c r="G29" s="26" t="str">
        <x:v>Crown fiscal technical sensitivity</x:v>
      </x:c>
      <x:c r="H29" s="26" t="str">
        <x:v>Mature national design</x:v>
      </x:c>
      <x:c r="I29" s="26" t="str">
        <x:v>4% intermediate sensitivity</x:v>
      </x:c>
      <x:c r="J29" s="1313" t="str">
        <x:v>Reverse-calculated technical sensitivity</x:v>
      </x:c>
      <x:c r="K29" s="1313" t="str">
        <x:v>Intermediate sensitivity — evidence hurdle</x:v>
      </x:c>
      <x:c r="L29" s="26" t="str">
        <x:v>Affected-population uplift required for fiscal coverage to reach 100% at 4%.</x:v>
      </x:c>
      <x:c r="M29" s="26" t="str">
        <x:v>It is not the principal public Crown break-even result.</x:v>
      </x:c>
      <x:c r="N29" s="26" t="str">
        <x:v>Human Capital &amp; Earnings</x:v>
      </x:c>
      <x:c r="O29" s="26" t="str">
        <x:v>K117</x:v>
      </x:c>
      <x:c r="P29" s="1242" t="n">
        <x:v>46215</x:v>
      </x:c>
    </x:row>
    <x:row r="30">
      <x:c r="A30" s="26" t="str">
        <x:v>BREAK_EVEN_CROWN_8_TECH</x:v>
      </x:c>
      <x:c r="B30" s="26" t="str">
        <x:v>Crown fiscal break-even earnings uplift — 8% high sensitivity</x:v>
      </x:c>
      <x:c r="C30" s="1349" t="n">
        <x:f>'Human Capital &amp; Earnings'!K118</x:f>
        <x:v>0.6052354480592517</x:v>
      </x:c>
      <x:c r="D30" s="1347" t="str">
        <x:v>60.5%</x:v>
      </x:c>
      <x:c r="E30" s="26" t="str">
        <x:v>%</x:v>
      </x:c>
      <x:c r="F30" s="26" t="str">
        <x:v>Working-life sensitivity</x:v>
      </x:c>
      <x:c r="G30" s="26" t="str">
        <x:v>Crown fiscal technical sensitivity</x:v>
      </x:c>
      <x:c r="H30" s="26" t="str">
        <x:v>Mature national design</x:v>
      </x:c>
      <x:c r="I30" s="26" t="str">
        <x:v>8% high sensitivity</x:v>
      </x:c>
      <x:c r="J30" s="1313" t="str">
        <x:v>Reverse-calculated technical sensitivity</x:v>
      </x:c>
      <x:c r="K30" s="1313" t="str">
        <x:v>High sensitivity — evidence hurdle</x:v>
      </x:c>
      <x:c r="L30" s="26" t="str">
        <x:v>Affected-population uplift required for fiscal coverage to reach 100% at 8%.</x:v>
      </x:c>
      <x:c r="M30" s="26" t="str">
        <x:v>It is not the principal public Crown break-even result.</x:v>
      </x:c>
      <x:c r="N30" s="26" t="str">
        <x:v>Human Capital &amp; Earnings</x:v>
      </x:c>
      <x:c r="O30" s="26" t="str">
        <x:v>K118</x:v>
      </x:c>
      <x:c r="P30" s="1242" t="n">
        <x:v>46215</x:v>
      </x:c>
    </x:row>
    <x:row r="31">
      <x:c r="A31" s="26" t="str">
        <x:v>LEARNING_CAPITAL_CONTRIBUTION</x:v>
      </x:c>
      <x:c r="B31" s="26" t="str">
        <x:v>Five-year Learning Capital contribution per participant</x:v>
      </x:c>
      <x:c r="C31" s="1346" t="n">
        <x:f>'Learning Capital &amp; ROI'!C23</x:f>
        <x:v>9750</x:v>
      </x:c>
      <x:c r="D31" s="1347" t="str">
        <x:v>$9,750</x:v>
      </x:c>
      <x:c r="E31" s="26" t="str">
        <x:v>NZD/person</x:v>
      </x:c>
      <x:c r="F31" s="26" t="str">
        <x:v>Five school years</x:v>
      </x:c>
      <x:c r="G31" s="26" t="str">
        <x:v>Participant</x:v>
      </x:c>
      <x:c r="H31" s="26" t="str">
        <x:v>Central</x:v>
      </x:c>
      <x:c r="I31" s="26" t="str">
        <x:v>Not applicable</x:v>
      </x:c>
      <x:c r="J31" s="1345" t="str">
        <x:v>Policy formula</x:v>
      </x:c>
      <x:c r="K31" s="1345" t="str">
        <x:v>Participant resource</x:v>
      </x:c>
      <x:c r="L31" s="26" t="str">
        <x:v>Protected contribution from half of verified participation payments over five years.</x:v>
      </x:c>
      <x:c r="M31" s="26" t="str">
        <x:v>It is not investment return or a Crown saving.</x:v>
      </x:c>
      <x:c r="N31" s="26" t="str">
        <x:v>Learning Capital &amp; ROI</x:v>
      </x:c>
      <x:c r="O31" s="26" t="str">
        <x:v>C23</x:v>
      </x:c>
      <x:c r="P31" s="1242" t="n">
        <x:v>46215</x:v>
      </x:c>
    </x:row>
    <x:row r="32">
      <x:c r="A32" s="26" t="str">
        <x:v>LEARNING_CAPITAL_BALANCE</x:v>
      </x:c>
      <x:c r="B32" s="26" t="str">
        <x:v>Projected closing nominal Learning Capital balance</x:v>
      </x:c>
      <x:c r="C32" s="1346" t="n">
        <x:f>'Learning Capital &amp; ROI'!C26</x:f>
        <x:v>10681.574885879425</x:v>
      </x:c>
      <x:c r="D32" s="1347" t="str">
        <x:v>$10,682</x:v>
      </x:c>
      <x:c r="E32" s="26" t="str">
        <x:v>NZD/person</x:v>
      </x:c>
      <x:c r="F32" s="26" t="str">
        <x:v>End of accumulation</x:v>
      </x:c>
      <x:c r="G32" s="26" t="str">
        <x:v>Participant</x:v>
      </x:c>
      <x:c r="H32" s="26" t="str">
        <x:v>Central</x:v>
      </x:c>
      <x:c r="I32" s="26" t="str">
        <x:v>Central investment scenario</x:v>
      </x:c>
      <x:c r="J32" s="1313" t="str">
        <x:v>Scenario — market returns uncertain</x:v>
      </x:c>
      <x:c r="K32" s="1313" t="str">
        <x:v>Provisional participant outcome</x:v>
      </x:c>
      <x:c r="L32" s="26" t="str">
        <x:v>Projected nominal protected account balance after contributions, fees, tax and lifecycle assumptions.</x:v>
      </x:c>
      <x:c r="M32" s="26" t="str">
        <x:v>It is not guaranteed and should not be added to debt avoided as a separate benefit.</x:v>
      </x:c>
      <x:c r="N32" s="26" t="str">
        <x:v>Learning Capital &amp; ROI</x:v>
      </x:c>
      <x:c r="O32" s="26" t="str">
        <x:v>C26</x:v>
      </x:c>
      <x:c r="P32" s="1242" t="n">
        <x:v>46215</x:v>
      </x:c>
    </x:row>
    <x:row r="33">
      <x:c r="A33" s="26" t="str">
        <x:v>LOAN_FAIR_VALUE_OFFSET</x:v>
      </x:c>
      <x:c r="B33" s="26" t="str">
        <x:v>Modelled student-loan fair-value offset using the official cost rate</x:v>
      </x:c>
      <x:c r="C33" s="1346" t="n">
        <x:f>'Cohort Bridge'!D28</x:f>
        <x:v>58449915.55259848</x:v>
      </x:c>
      <x:c r="D33" s="1347" t="str">
        <x:v>$58.4m</x:v>
      </x:c>
      <x:c r="E33" s="26" t="str">
        <x:v>NZD PV/cohort</x:v>
      </x:c>
      <x:c r="F33" s="26" t="str">
        <x:v>Cohort lifetime</x:v>
      </x:c>
      <x:c r="G33" s="26" t="str">
        <x:v>Crown fiscal</x:v>
      </x:c>
      <x:c r="H33" s="26" t="str">
        <x:v>Central</x:v>
      </x:c>
      <x:c r="I33" s="26" t="str">
        <x:v>Official fair-value method</x:v>
      </x:c>
      <x:c r="J33" s="1345" t="str">
        <x:v>Official rate applied to modelled displacement</x:v>
      </x:c>
      <x:c r="K33" s="1313" t="str">
        <x:v>Scenario estimate — official rate applied</x:v>
      </x:c>
      <x:c r="L33" s="26" t="str">
        <x:v>The official fair-value cost rate is applied to modelled student-loan borrowing displacement.</x:v>
      </x:c>
      <x:c r="M33" s="26" t="str">
        <x:v>The resulting dollar amount is a scenario estimate, not an official government forecast or the net Crown offset.</x:v>
      </x:c>
      <x:c r="N33" s="26" t="str">
        <x:v>Cohort Bridge</x:v>
      </x:c>
      <x:c r="O33" s="26" t="str">
        <x:v>D28</x:v>
      </x:c>
      <x:c r="P33" s="1242" t="n">
        <x:v>46215</x:v>
      </x:c>
    </x:row>
    <x:row r="34">
      <x:c r="A34" s="26" t="str">
        <x:v>LOAN_CONSEQUENTIAL_COSTS</x:v>
      </x:c>
      <x:c r="B34" s="26" t="str">
        <x:v>Consequential account administration and induced-study costs</x:v>
      </x:c>
      <x:c r="C34" s="1346" t="n">
        <x:f>'Cohort Bridge'!D29</x:f>
        <x:v>52622218.400000006</x:v>
      </x:c>
      <x:c r="D34" s="1347" t="str">
        <x:v>$52.6m</x:v>
      </x:c>
      <x:c r="E34" s="26" t="str">
        <x:v>NZD PV/cohort</x:v>
      </x:c>
      <x:c r="F34" s="26" t="str">
        <x:v>Cohort lifetime</x:v>
      </x:c>
      <x:c r="G34" s="26" t="str">
        <x:v>Crown fiscal</x:v>
      </x:c>
      <x:c r="H34" s="26" t="str">
        <x:v>Central</x:v>
      </x:c>
      <x:c r="I34" s="26" t="str">
        <x:v>Present value</x:v>
      </x:c>
      <x:c r="J34" s="1313" t="str">
        <x:v>Scenario cost bridge</x:v>
      </x:c>
      <x:c r="K34" s="1345" t="str">
        <x:v>Cost deducted from gross offset</x:v>
      </x:c>
      <x:c r="L34" s="26" t="str">
        <x:v>Consequential account administration and induced-study costs deducted from the modelled gross fair-value offset.</x:v>
      </x:c>
      <x:c r="M34" s="26" t="str">
        <x:v>It is not an additional benefit or a separate programme appropriation.</x:v>
      </x:c>
      <x:c r="N34" s="26" t="str">
        <x:v>Cohort Bridge</x:v>
      </x:c>
      <x:c r="O34" s="26" t="str">
        <x:v>D29</x:v>
      </x:c>
      <x:c r="P34" s="1242" t="n">
        <x:v>46215</x:v>
      </x:c>
    </x:row>
    <x:row r="35">
      <x:c r="A35" s="26" t="str">
        <x:v>LOAN_NET_OFFSET</x:v>
      </x:c>
      <x:c r="B35" s="26" t="str">
        <x:v>Net Learning Capital Crown offset after consequential costs</x:v>
      </x:c>
      <x:c r="C35" s="1346" t="n">
        <x:f>'Cohort Bridge'!D30</x:f>
        <x:v>5827697.152598478</x:v>
      </x:c>
      <x:c r="D35" s="1347" t="str">
        <x:v>$5.8m</x:v>
      </x:c>
      <x:c r="E35" s="26" t="str">
        <x:v>NZD PV/cohort</x:v>
      </x:c>
      <x:c r="F35" s="26" t="str">
        <x:v>Cohort lifetime</x:v>
      </x:c>
      <x:c r="G35" s="26" t="str">
        <x:v>Crown fiscal</x:v>
      </x:c>
      <x:c r="H35" s="26" t="str">
        <x:v>Central</x:v>
      </x:c>
      <x:c r="I35" s="26" t="str">
        <x:v>Present value</x:v>
      </x:c>
      <x:c r="J35" s="1313" t="str">
        <x:v>Scenario — borrowing counterfactual unproven</x:v>
      </x:c>
      <x:c r="K35" s="1345" t="str">
        <x:v>Conditional fiscal offset</x:v>
      </x:c>
      <x:c r="L35" s="26" t="str">
        <x:v>Modelled fair-value offset less consequential account administration and induced-study costs.</x:v>
      </x:c>
      <x:c r="M35" s="26" t="str">
        <x:v>It does not reduce the full participation-payment appropriation and is not the gross borrowing displaced.</x:v>
      </x:c>
      <x:c r="N35" s="26" t="str">
        <x:v>Cohort Bridge</x:v>
      </x:c>
      <x:c r="O35" s="26" t="str">
        <x:v>D30</x:v>
      </x:c>
      <x:c r="P35" s="1242" t="n">
        <x:v>46215</x:v>
      </x:c>
    </x:row>
    <x:row r="36">
      <x:c r="A36" s="26" t="str">
        <x:v>JUSTICE_SENS_1</x:v>
      </x:c>
      <x:c r="B36" s="26" t="str">
        <x:v>Illustrative one-percent justice resource sensitivity</x:v>
      </x:c>
      <x:c r="C36" s="1346" t="n">
        <x:f>'Justice Sensitivity'!G7</x:f>
        <x:v>2964909.73725</x:v>
      </x:c>
      <x:c r="D36" s="1347" t="str">
        <x:v>$3.0m</x:v>
      </x:c>
      <x:c r="E36" s="26" t="str">
        <x:v>NZD PV</x:v>
      </x:c>
      <x:c r="F36" s="26" t="str">
        <x:v>Illustrative cohort lifetime</x:v>
      </x:c>
      <x:c r="G36" s="26" t="str">
        <x:v>National social</x:v>
      </x:c>
      <x:c r="H36" s="26" t="str">
        <x:v>One-percent sensitivity</x:v>
      </x:c>
      <x:c r="I36" s="26" t="str">
        <x:v>Sensitivity only</x:v>
      </x:c>
      <x:c r="J36" s="1313" t="str">
        <x:v>Illustrative — excluded from headline</x:v>
      </x:c>
      <x:c r="K36" s="1313" t="str">
        <x:v>Illustrative</x:v>
      </x:c>
      <x:c r="L36" s="26" t="str">
        <x:v>Illustrative prison resource value under a one-percent applicable-case sensitivity.</x:v>
      </x:c>
      <x:c r="M36" s="26" t="str">
        <x:v>It is not a forecast, offence estimate or cashable Corrections saving.</x:v>
      </x:c>
      <x:c r="N36" s="26" t="str">
        <x:v>Justice Sensitivity</x:v>
      </x:c>
      <x:c r="O36" s="26" t="str">
        <x:v>G7</x:v>
      </x:c>
      <x:c r="P36" s="1242" t="n">
        <x:v>46215</x:v>
      </x:c>
    </x:row>
    <x:row r="37">
      <x:c r="A37" s="26" t="str">
        <x:v>CORE_TARGET_BREAK_EVEN</x:v>
      </x:c>
      <x:c r="B37" s="26" t="str">
        <x:v>Core plus targeted affected-population social break-even uplift</x:v>
      </x:c>
      <x:c r="C37" s="1349" t="n">
        <x:f>'Human Capital &amp; Earnings'!J110</x:f>
        <x:v>0.022715858868379204</x:v>
      </x:c>
      <x:c r="D37" s="1347" t="str">
        <x:v>2.3%</x:v>
      </x:c>
      <x:c r="E37" s="26" t="str">
        <x:v>%</x:v>
      </x:c>
      <x:c r="F37" s="26" t="str">
        <x:v>Working-life sensitivity</x:v>
      </x:c>
      <x:c r="G37" s="26" t="str">
        <x:v>National social</x:v>
      </x:c>
      <x:c r="H37" s="26" t="str">
        <x:v>Universal core plus targeted accelerator</x:v>
      </x:c>
      <x:c r="I37" s="26" t="str">
        <x:v>2%</x:v>
      </x:c>
      <x:c r="J37" s="1313" t="str">
        <x:v>Scenario — retained high-risk effect unproven</x:v>
      </x:c>
      <x:c r="K37" s="1313" t="str">
        <x:v>Evidence hurdle</x:v>
      </x:c>
      <x:c r="L37" s="26" t="str">
        <x:v>Affected-population uplift required for the lower-cost structural scenario to reach full-expenditure social break-even.</x:v>
      </x:c>
      <x:c r="M37" s="26" t="str">
        <x:v>It is not a demonstrated programme effect.</x:v>
      </x:c>
      <x:c r="N37" s="26" t="str">
        <x:v>Human Capital &amp; Earnings</x:v>
      </x:c>
      <x:c r="O37" s="26" t="str">
        <x:v>J110</x:v>
      </x:c>
      <x:c r="P37" s="1242" t="n">
        <x:v>46215</x:v>
      </x:c>
    </x:row>
    <x:row r="38">
      <x:c r="A38" s="26" t="str">
        <x:v>CORE_TARGET_EQUIV_BREAK_EVEN</x:v>
      </x:c>
      <x:c r="B38" s="26" t="str">
        <x:v>Core plus targeted full-cohort-equivalent social break-even uplift</x:v>
      </x:c>
      <x:c r="C38" s="1349" t="n">
        <x:f>'Earnings Uplift Bridge'!H35</x:f>
        <x:v>0.004047235729803591</x:v>
      </x:c>
      <x:c r="D38" s="1347" t="str">
        <x:v>0.405%</x:v>
      </x:c>
      <x:c r="E38" s="26" t="str">
        <x:v>%</x:v>
      </x:c>
      <x:c r="F38" s="26" t="str">
        <x:v>Annual cohort equivalent</x:v>
      </x:c>
      <x:c r="G38" s="26" t="str">
        <x:v>Public explanation</x:v>
      </x:c>
      <x:c r="H38" s="26" t="str">
        <x:v>Universal core plus targeted accelerator</x:v>
      </x:c>
      <x:c r="I38" s="26" t="str">
        <x:v>2%</x:v>
      </x:c>
      <x:c r="J38" s="1313" t="str">
        <x:v>Calculated scenario equivalent</x:v>
      </x:c>
      <x:c r="K38" s="1313" t="str">
        <x:v>Evidence hurdle</x:v>
      </x:c>
      <x:c r="L38" s="26" t="str">
        <x:v>The core-plus-targeted break-even value expressed as an equivalent average across its full exposed cohort.</x:v>
      </x:c>
      <x:c r="M38" s="26" t="str">
        <x:v>It is not a measured uniform effect and does not use the mature-design conversion factor.</x:v>
      </x:c>
      <x:c r="N38" s="26" t="str">
        <x:v>Earnings Uplift Bridge</x:v>
      </x:c>
      <x:c r="O38" s="26" t="str">
        <x:v>H35</x:v>
      </x:c>
      <x:c r="P38" s="1242" t="n">
        <x:v>46215</x:v>
      </x:c>
    </x:row>
    <x:row r="39">
      <x:c r="A39" s="26" t="str">
        <x:v>CORE_TARGET_BCR_1</x:v>
      </x:c>
      <x:c r="B39" s="26" t="str">
        <x:v>Core plus targeted full-expenditure BCR at a 1% earnings uplift</x:v>
      </x:c>
      <x:c r="C39" s="1369" t="n">
        <x:f>('Human Capital &amp; Earnings'!D110+'Human Capital &amp; Earnings'!G110*1)/'Human Capital &amp; Earnings'!C110</x:f>
        <x:v>0.6866288601990855</x:v>
      </x:c>
      <x:c r="D39" s="1347" t="str">
        <x:v>0.687x</x:v>
      </x:c>
      <x:c r="E39" s="26" t="str">
        <x:v>x</x:v>
      </x:c>
      <x:c r="F39" s="26" t="str">
        <x:v>Lifetime PV versus annual scenario cost</x:v>
      </x:c>
      <x:c r="G39" s="26" t="str">
        <x:v>National social</x:v>
      </x:c>
      <x:c r="H39" s="26" t="str">
        <x:v>Universal core plus targeted accelerator</x:v>
      </x:c>
      <x:c r="I39" s="26" t="str">
        <x:v>2%</x:v>
      </x:c>
      <x:c r="J39" s="1313" t="str">
        <x:v>Scenario — retained high-risk effect unproven</x:v>
      </x:c>
      <x:c r="K39" s="1313" t="str">
        <x:v>Assumption-dependent</x:v>
      </x:c>
      <x:c r="L39" s="26" t="str">
        <x:v>Full-expenditure social BCR for the lower-cost structure at a one-percent affected-population uplift.</x:v>
      </x:c>
      <x:c r="M39" s="26" t="str">
        <x:v>It is not a proven result or Crown fiscal recovery.</x:v>
      </x:c>
      <x:c r="N39" s="26" t="str">
        <x:v>Human Capital &amp; Earnings</x:v>
      </x:c>
      <x:c r="O39" s="26" t="str">
        <x:v>(D110 + G110 × 1) ÷ C110</x:v>
      </x:c>
      <x:c r="P39" s="1242" t="n">
        <x:v>46215</x:v>
      </x:c>
    </x:row>
    <x:row r="40">
      <x:c r="A40" s="26" t="str">
        <x:v>CORE_TARGET_BCR_3</x:v>
      </x:c>
      <x:c r="B40" s="26" t="str">
        <x:v>Core plus targeted full-expenditure BCR at a 3% earnings uplift</x:v>
      </x:c>
      <x:c r="C40" s="1370" t="n">
        <x:f>('Human Capital &amp; Earnings'!D110+'Human Capital &amp; Earnings'!G110*3)/'Human Capital &amp; Earnings'!C110</x:f>
        <x:v>1.1795112412393174</x:v>
      </x:c>
      <x:c r="D40" s="1371" t="str">
        <x:v>1.180x</x:v>
      </x:c>
      <x:c r="E40" s="26" t="str">
        <x:v>x</x:v>
      </x:c>
      <x:c r="F40" s="26" t="str">
        <x:v>Lifetime PV versus annual scenario cost</x:v>
      </x:c>
      <x:c r="G40" s="26" t="str">
        <x:v>National social</x:v>
      </x:c>
      <x:c r="H40" s="26" t="str">
        <x:v>Universal core plus targeted accelerator</x:v>
      </x:c>
      <x:c r="I40" s="26" t="str">
        <x:v>2%</x:v>
      </x:c>
      <x:c r="J40" s="1313" t="str">
        <x:v>Scenario — retained high-risk effect unproven</x:v>
      </x:c>
      <x:c r="K40" s="1313" t="str">
        <x:v>Assumption-dependent</x:v>
      </x:c>
      <x:c r="L40" s="26" t="str">
        <x:v>Full-expenditure social BCR for the lower-cost structure at a three-percent affected-population uplift.</x:v>
      </x:c>
      <x:c r="M40" s="26" t="str">
        <x:v>It is not a forecast or a demonstrated programme outcome.</x:v>
      </x:c>
      <x:c r="N40" s="26" t="str">
        <x:v>Human Capital &amp; Earnings</x:v>
      </x:c>
      <x:c r="O40" s="26" t="str">
        <x:v>(D110 + G110 × 3) ÷ C110</x:v>
      </x:c>
      <x:c r="P40" s="1242" t="n">
        <x:v>46215</x:v>
      </x:c>
    </x:row>
    <x:row r="41">
      <x:c r="A41" s="26" t="str">
        <x:v>CORE_TARGET_BCR_5</x:v>
      </x:c>
      <x:c r="B41" s="26" t="str">
        <x:v>Core plus targeted full-expenditure BCR at a 5% earnings uplift</x:v>
      </x:c>
      <x:c r="C41" s="1370" t="n">
        <x:f>'Human Capital &amp; Earnings'!O110</x:f>
        <x:v>1.6723936222795492</x:v>
      </x:c>
      <x:c r="D41" s="1371" t="str">
        <x:v>1.672x</x:v>
      </x:c>
      <x:c r="E41" s="26" t="str">
        <x:v>x</x:v>
      </x:c>
      <x:c r="F41" s="26" t="str">
        <x:v>Lifetime PV versus annual scenario cost</x:v>
      </x:c>
      <x:c r="G41" s="26" t="str">
        <x:v>National social</x:v>
      </x:c>
      <x:c r="H41" s="26" t="str">
        <x:v>Universal core plus targeted accelerator</x:v>
      </x:c>
      <x:c r="I41" s="26" t="str">
        <x:v>2%</x:v>
      </x:c>
      <x:c r="J41" s="1313" t="str">
        <x:v>Scenario — retained high-risk effect unproven</x:v>
      </x:c>
      <x:c r="K41" s="1313" t="str">
        <x:v>Assumption-dependent</x:v>
      </x:c>
      <x:c r="L41" s="26" t="str">
        <x:v>Full-expenditure social BCR for the lower-cost structure at a five-percent affected-population uplift.</x:v>
      </x:c>
      <x:c r="M41" s="26" t="str">
        <x:v>It is not evidence that the uplift or retained high-risk effect will occur.</x:v>
      </x:c>
      <x:c r="N41" s="26" t="str">
        <x:v>Human Capital &amp; Earnings</x:v>
      </x:c>
      <x:c r="O41" s="26" t="str">
        <x:v>O110</x:v>
      </x:c>
      <x:c r="P41" s="1242" t="n">
        <x:v>46215</x:v>
      </x:c>
    </x:row>
    <x:row r="42">
      <x:c r="A42" s="26" t="str">
        <x:v>CORE_TARGET_RETAINED_EFFECT</x:v>
      </x:c>
      <x:c r="B42" s="26" t="str">
        <x:v>Core plus targeted retained high-risk effect assumption</x:v>
      </x:c>
      <x:c r="C42" s="1349" t="n">
        <x:f>'Delivery Scenarios'!I21</x:f>
        <x:v>1</x:v>
      </x:c>
      <x:c r="D42" s="1347" t="str">
        <x:v>100.0%</x:v>
      </x:c>
      <x:c r="E42" s="26" t="str">
        <x:v>%</x:v>
      </x:c>
      <x:c r="F42" s="26" t="str">
        <x:v>Scenario assumption</x:v>
      </x:c>
      <x:c r="G42" s="26" t="str">
        <x:v>Model assumption</x:v>
      </x:c>
      <x:c r="H42" s="26" t="str">
        <x:v>Universal core plus targeted accelerator</x:v>
      </x:c>
      <x:c r="I42" s="26" t="str">
        <x:v>Not applicable</x:v>
      </x:c>
      <x:c r="J42" s="1313" t="str">
        <x:v>Unproven — tested at 25%, 50%, 75% and 100%</x:v>
      </x:c>
      <x:c r="K42" s="1313" t="str">
        <x:v>Material assumption</x:v>
      </x:c>
      <x:c r="L42" s="26" t="str">
        <x:v>Share of the mature design's high-risk effect retained in the lower-cost structural scenario.</x:v>
      </x:c>
      <x:c r="M42" s="26" t="str">
        <x:v>It is not a demonstrated retained effect.</x:v>
      </x:c>
      <x:c r="N42" s="26" t="str">
        <x:v>Delivery Scenarios</x:v>
      </x:c>
      <x:c r="O42" s="26" t="str">
        <x:v>I21</x:v>
      </x:c>
      <x:c r="P42" s="1242" t="n">
        <x:v>46215</x:v>
      </x:c>
    </x:row>
    <x:row r="43">
      <x:c r="C43" s="1343"/>
      <x:c r="D43" s="1343"/>
    </x:row>
    <x:row r="44">
      <x:c r="C44" s="1343"/>
      <x:c r="D44" s="1343"/>
    </x:row>
    <x:row r="45">
      <x:c r="C45" s="1343"/>
      <x:c r="D45" s="1343"/>
    </x:row>
    <x:row r="46">
      <x:c r="C46" s="1343"/>
      <x:c r="D46" s="1343"/>
    </x:row>
    <x:row r="47">
      <x:c r="C47" s="1343"/>
      <x:c r="D47" s="1343"/>
    </x:row>
    <x:row r="48">
      <x:c r="C48" s="1343"/>
      <x:c r="D48" s="1343"/>
    </x:row>
    <x:row r="49">
      <x:c r="C49" s="1343"/>
      <x:c r="D49" s="1343"/>
    </x:row>
    <x:row r="50">
      <x:c r="C50" s="1343"/>
      <x:c r="D50" s="1343"/>
    </x:row>
    <x:row r="51">
      <x:c r="C51" s="1343"/>
      <x:c r="D51" s="1343"/>
    </x:row>
    <x:row r="52">
      <x:c r="C52" s="1343"/>
      <x:c r="D52" s="1343"/>
    </x:row>
    <x:row r="53">
      <x:c r="C53" s="1343"/>
      <x:c r="D53" s="1343"/>
    </x:row>
    <x:row r="54">
      <x:c r="C54" s="1343"/>
      <x:c r="D54" s="1343"/>
    </x:row>
    <x:row r="55">
      <x:c r="C55" s="1343"/>
      <x:c r="D55" s="1343"/>
    </x:row>
    <x:row r="56">
      <x:c r="C56" s="1343"/>
      <x:c r="D56" s="1343"/>
    </x:row>
    <x:row r="57">
      <x:c r="C57" s="1343"/>
      <x:c r="D57" s="1343"/>
    </x:row>
    <x:row r="58">
      <x:c r="C58" s="1343"/>
      <x:c r="D58" s="1343"/>
    </x:row>
    <x:row r="59">
      <x:c r="C59" s="1343"/>
      <x:c r="D59" s="1343"/>
    </x:row>
    <x:row r="60">
      <x:c r="C60" s="1343"/>
      <x:c r="D60" s="1343"/>
    </x:row>
    <x:row r="61">
      <x:c r="C61" s="1343"/>
      <x:c r="D61" s="1343"/>
    </x:row>
    <x:row r="62">
      <x:c r="C62" s="1343"/>
      <x:c r="D62" s="1343"/>
    </x:row>
    <x:row r="63">
      <x:c r="C63" s="1343"/>
      <x:c r="D63" s="1343"/>
    </x:row>
    <x:row r="64">
      <x:c r="C64" s="1343"/>
      <x:c r="D64" s="1343"/>
    </x:row>
    <x:row r="65">
      <x:c r="C65" s="1343"/>
      <x:c r="D65" s="1343"/>
    </x:row>
    <x:row r="66">
      <x:c r="C66" s="1343"/>
      <x:c r="D66" s="1343"/>
    </x:row>
    <x:row r="67">
      <x:c r="C67" s="1343"/>
      <x:c r="D67" s="1343"/>
    </x:row>
    <x:row r="68">
      <x:c r="C68" s="1343"/>
      <x:c r="D68" s="1343"/>
    </x:row>
    <x:row r="69">
      <x:c r="C69" s="1343"/>
      <x:c r="D69" s="1343"/>
    </x:row>
    <x:row r="70">
      <x:c r="C70" s="1343"/>
      <x:c r="D70" s="1343"/>
    </x:row>
    <x:row r="71">
      <x:c r="C71" s="1343"/>
      <x:c r="D71" s="1343"/>
    </x:row>
    <x:row r="72">
      <x:c r="C72" s="1343"/>
      <x:c r="D72" s="1343"/>
    </x:row>
    <x:row r="73">
      <x:c r="C73" s="1343"/>
      <x:c r="D73" s="1343"/>
    </x:row>
    <x:row r="74">
      <x:c r="C74" s="1343"/>
      <x:c r="D74" s="1343"/>
    </x:row>
    <x:row r="75">
      <x:c r="C75" s="1343"/>
      <x:c r="D75" s="1343"/>
    </x:row>
    <x:row r="76">
      <x:c r="C76" s="1343"/>
      <x:c r="D76" s="1343"/>
    </x:row>
    <x:row r="77">
      <x:c r="C77" s="1343"/>
      <x:c r="D77" s="1343"/>
    </x:row>
    <x:row r="78">
      <x:c r="C78" s="1343"/>
      <x:c r="D78" s="1343"/>
    </x:row>
    <x:row r="79">
      <x:c r="C79" s="1343"/>
      <x:c r="D79" s="1343"/>
    </x:row>
    <x:row r="80">
      <x:c r="C80" s="1343"/>
      <x:c r="D80" s="1343"/>
    </x:row>
  </x:sheetData>
  <x:mergeCells>
    <x:mergeCell ref="A1:P1"/>
    <x:mergeCell ref="A2:P2"/>
  </x:mergeCells>
  <x:pageMargins left="0.7" right="0.7" top="0.75" bottom="0.75" header="0.3" footer="0.3"/>
</x:worksheet>
</file>