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worksheets/sheet7.xml" ContentType="application/vnd.openxmlformats-officedocument.spreadsheetml.worksheet+xml"/>
  <Override PartName="/xl/tables/table2.xml" ContentType="application/vnd.openxmlformats-officedocument.spreadsheetml.table+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b663c61c642c457b" /></Relationships>
</file>

<file path=xl/workbook.xml><?xml version="1.0" encoding="utf-8"?>
<x:workbook xmlns:x="http://schemas.openxmlformats.org/spreadsheetml/2006/main">
  <x:sheets>
    <x:sheet xmlns:r="http://schemas.openxmlformats.org/officeDocument/2006/relationships" name="Start Here — Guided Tour" sheetId="1" r:id="R94b0f1d7eb3c49cc"/>
    <x:sheet xmlns:r="http://schemas.openxmlformats.org/officeDocument/2006/relationships" name="Public Financial Summary" sheetId="2" r:id="R94578e0149684911"/>
    <x:sheet xmlns:r="http://schemas.openxmlformats.org/officeDocument/2006/relationships" name="Executive Summary" sheetId="3" r:id="R35ab0511ab9c4df0"/>
    <x:sheet xmlns:r="http://schemas.openxmlformats.org/officeDocument/2006/relationships" name="How to Read This Model" sheetId="4" r:id="Rae3fc2ea09f94736"/>
    <x:sheet xmlns:r="http://schemas.openxmlformats.org/officeDocument/2006/relationships" name="Common Misinterpretations" sheetId="5" r:id="Rc03f288045574e6e"/>
    <x:sheet xmlns:r="http://schemas.openxmlformats.org/officeDocument/2006/relationships" name="Glossary &amp; Key Concepts" sheetId="6" r:id="R5e539a0f6f3d45fa"/>
    <x:sheet xmlns:r="http://schemas.openxmlformats.org/officeDocument/2006/relationships" name="Formula Dictionary" sheetId="7" r:id="R3ca6bfc690614d5f"/>
    <x:sheet xmlns:r="http://schemas.openxmlformats.org/officeDocument/2006/relationships" name="Worked Examples" sheetId="8" r:id="Ra6074799edb44e07"/>
    <x:sheet xmlns:r="http://schemas.openxmlformats.org/officeDocument/2006/relationships" name="Core Model Checksum" sheetId="9" r:id="R683d278927be489d"/>
    <x:sheet xmlns:r="http://schemas.openxmlformats.org/officeDocument/2006/relationships" name="Earnings Uplift Bridge" sheetId="10" r:id="R68ba93ab0bce4bb0"/>
    <x:sheet xmlns:r="http://schemas.openxmlformats.org/officeDocument/2006/relationships" name="Read Me" sheetId="11" r:id="Rf50f389174474537"/>
    <x:sheet xmlns:r="http://schemas.openxmlformats.org/officeDocument/2006/relationships" name="Source Register" sheetId="12" r:id="R35bc24c8b0984341"/>
    <x:sheet xmlns:r="http://schemas.openxmlformats.org/officeDocument/2006/relationships" name="Assumptions" sheetId="13" r:id="Rd315365a26b04ad5"/>
    <x:sheet xmlns:r="http://schemas.openxmlformats.org/officeDocument/2006/relationships" name="Stage 0 - Year 0" sheetId="14" r:id="R63ac4de746cd4dac"/>
    <x:sheet xmlns:r="http://schemas.openxmlformats.org/officeDocument/2006/relationships" name="Stage 1 - Pilot" sheetId="15" r:id="R32cd8feab70749a5"/>
    <x:sheet xmlns:r="http://schemas.openxmlformats.org/officeDocument/2006/relationships" name="Stage 2 - National" sheetId="16" r:id="R98382f7a23ef4212"/>
    <x:sheet xmlns:r="http://schemas.openxmlformats.org/officeDocument/2006/relationships" name="Benefits &amp; BCR" sheetId="17" r:id="R3029fa7bb5e24770"/>
    <x:sheet xmlns:r="http://schemas.openxmlformats.org/officeDocument/2006/relationships" name="Validation Log" sheetId="18" r:id="R2664879634944dbc"/>
    <x:sheet xmlns:r="http://schemas.openxmlformats.org/officeDocument/2006/relationships" name="Learning Capital &amp; ROI" sheetId="19" r:id="Ra716532a7fed4793"/>
    <x:sheet xmlns:r="http://schemas.openxmlformats.org/officeDocument/2006/relationships" name="Cohort Bridge" sheetId="20" r:id="R667bea0a1b974f47"/>
    <x:sheet xmlns:r="http://schemas.openxmlformats.org/officeDocument/2006/relationships" name="Justice Sensitivity" sheetId="21" r:id="Rf44a18ba318b4557"/>
    <x:sheet xmlns:r="http://schemas.openxmlformats.org/officeDocument/2006/relationships" name="Delivery Scenarios" sheetId="22" r:id="R0f9bf2722801417f"/>
    <x:sheet xmlns:r="http://schemas.openxmlformats.org/officeDocument/2006/relationships" name="Human Capital &amp; Earnings" sheetId="23" r:id="Ra27b5586f86345ce"/>
    <x:sheet xmlns:r="http://schemas.openxmlformats.org/officeDocument/2006/relationships" name="Stage-Gate Tests" sheetId="24" r:id="R028ca9c012664c1d"/>
    <x:sheet xmlns:r="http://schemas.openxmlformats.org/officeDocument/2006/relationships" name="Website Data Export" sheetId="25" r:id="R580a6def4f2b46b2"/>
  </x:sheets>
</x:workbook>
</file>

<file path=xl/sharedStrings.xml><?xml version="1.0" encoding="utf-8"?>
<x:sst xmlns:x="http://schemas.openxmlformats.org/spreadsheetml/2006/main"/>
</file>

<file path=xl/styles.xml><?xml version="1.0" encoding="utf-8"?>
<x:styleSheet xmlns:x="http://schemas.openxmlformats.org/spreadsheetml/2006/main">
  <x:numFmts count="24">
    <x:numFmt numFmtId="200" formatCode="#,##0;[Red](#,##0);-"/>
    <x:numFmt numFmtId="201" formatCode="0.00x"/>
    <x:numFmt numFmtId="202" formatCode="0.0%;[Red](0.0%);-"/>
    <x:numFmt numFmtId="203" formatCode="$#,##0;[Red]($#,##0);-"/>
    <x:numFmt numFmtId="204" formatCode="0.0x;[Red](0.0x);-"/>
    <x:numFmt numFmtId="205" formatCode="$0.0,,&quot;m&quot;;[Red]($0.0,,&quot;m&quot;);-"/>
    <x:numFmt numFmtId="206" formatCode="0.0000x"/>
    <x:numFmt numFmtId="207" formatCode="0.00x;[Red](0.00x);-"/>
    <x:numFmt numFmtId="208" formatCode="0.00%;[Red](0.00%);-"/>
    <x:numFmt numFmtId="209" formatCode="#,##0.0;[Red](#,##0.0);-"/>
    <x:numFmt numFmtId="210" formatCode="0.000x"/>
    <x:numFmt numFmtId="211" formatCode="$0.00"/>
    <x:numFmt numFmtId="212" formatCode="$#,##0.0;[Red]($#,##0.0);-"/>
    <x:numFmt numFmtId="213" formatCode="0.0%"/>
    <x:numFmt numFmtId="214" formatCode="0.000%"/>
    <x:numFmt numFmtId="215" formatCode="#,##0.0"/>
    <x:numFmt numFmtId="216" formatCode="0%"/>
    <x:numFmt numFmtId="217" formatCode="#,##0"/>
    <x:numFmt numFmtId="218" formatCode="0.00%"/>
    <x:numFmt numFmtId="219" formatCode="#,##0.0000"/>
    <x:numFmt numFmtId="220" formatCode="0.0000%"/>
    <x:numFmt numFmtId="221" formatCode="$0.0;[Red]($0.0);-"/>
    <x:numFmt numFmtId="222" formatCode="yyyy-mm-dd"/>
    <x:numFmt numFmtId="223" formatCode="0.000%;[Red](0.000%);-"/>
  </x:numFmts>
  <x:fonts count="40">
    <x:font>
      <x:sz val="11"/>
      <x:name val="Carlito"/>
    </x:font>
    <x:font>
      <x:b/>
      <x:sz val="18"/>
      <x:color rgb="FFFFFFFF"/>
      <x:name val="Carlito"/>
    </x:font>
    <x:font>
      <x:i/>
      <x:sz val="10"/>
      <x:color rgb="FF666666"/>
      <x:name val="Carlito"/>
    </x:font>
    <x:font>
      <x:b/>
      <x:sz val="10"/>
      <x:color rgb="FFFFFFFF"/>
      <x:name val="Carlito"/>
    </x:font>
    <x:font>
      <x:b/>
      <x:sz val="11"/>
      <x:color rgb="FF0000FF"/>
      <x:name val="Carlito"/>
    </x:font>
    <x:font>
      <x:sz val="11"/>
      <x:color rgb="FF0000FF"/>
      <x:name val="Carlito"/>
    </x:font>
    <x:font>
      <x:b/>
      <x:sz val="11"/>
      <x:color rgb="FF174C43"/>
      <x:name val="Carlito"/>
    </x:font>
    <x:font>
      <x:b/>
      <x:sz val="11"/>
      <x:color rgb="FFFFFFFF"/>
      <x:name val="Carlito"/>
    </x:font>
    <x:font>
      <x:b/>
      <x:sz val="11"/>
      <x:color rgb="FF000000"/>
      <x:name val="Carlito"/>
    </x:font>
    <x:font>
      <x:sz val="11"/>
      <x:color rgb="FF000000"/>
      <x:name val="Carlito"/>
    </x:font>
    <x:font>
      <x:b/>
      <x:sz val="11"/>
      <x:name val="Carlito"/>
    </x:font>
    <x:font>
      <x:sz val="11"/>
      <x:color rgb="FF008000"/>
      <x:name val="Carlito"/>
    </x:font>
    <x:font>
      <x:b/>
      <x:sz val="11"/>
      <x:color rgb="FF18324A"/>
      <x:name val="Carlito"/>
    </x:font>
    <x:font>
      <x:b/>
      <x:sz val="11"/>
      <x:color rgb="FFC00000"/>
      <x:name val="Carlito"/>
    </x:font>
    <x:font>
      <x:b/>
      <x:sz val="11"/>
      <x:color rgb="FF008000"/>
      <x:name val="Carlito"/>
    </x:font>
    <x:font>
      <x:b/>
      <x:sz val="12"/>
      <x:color rgb="FF174C43"/>
      <x:name val="Carlito"/>
    </x:font>
    <x:font>
      <x:sz val="11"/>
      <x:color rgb="FF174C43"/>
      <x:name val="Carlito"/>
    </x:font>
    <x:font>
      <x:i/>
      <x:sz val="11"/>
      <x:color rgb="FF666666"/>
      <x:name val="Carlito"/>
    </x:font>
    <x:font>
      <x:sz val="11"/>
      <x:color rgb="FFC00000"/>
      <x:name val="Carlito"/>
    </x:font>
    <x:font>
      <x:sz val="10"/>
      <x:color rgb="FF174C43"/>
      <x:name val="Carlito"/>
    </x:font>
    <x:font>
      <x:b/>
      <x:sz val="10"/>
      <x:color rgb="FF174C43"/>
      <x:name val="Carlito"/>
    </x:font>
    <x:font>
      <x:b/>
      <x:sz val="10"/>
      <x:color rgb="FF008000"/>
      <x:name val="Carlito"/>
    </x:font>
    <x:font>
      <x:b/>
      <x:sz val="9"/>
      <x:color rgb="FFFFFFFF"/>
      <x:name val="Carlito"/>
    </x:font>
    <x:font>
      <x:b/>
      <x:sz val="13"/>
      <x:color rgb="FFFFFFFF"/>
      <x:name val="Carlito"/>
    </x:font>
    <x:font>
      <x:b/>
      <x:sz val="11"/>
      <x:color rgb="FF9C0006"/>
      <x:name val="Carlito"/>
    </x:font>
    <x:font>
      <x:b/>
      <x:sz val="15"/>
      <x:color rgb="FFFFFFFF"/>
      <x:name val="Carlito"/>
    </x:font>
    <x:font>
      <x:i/>
      <x:sz val="11"/>
      <x:name val="Carlito"/>
    </x:font>
    <x:font>
      <x:b/>
      <x:sz val="17"/>
      <x:color rgb="FFFFFFFF"/>
      <x:name val="Carlito"/>
    </x:font>
    <x:font>
      <x:sz val="11"/>
      <x:color rgb="FF000000"/>
      <x:name val="Carlito"/>
    </x:font>
    <x:font>
      <x:b/>
      <x:sz val="12"/>
      <x:color rgb="FFFFFFFF"/>
      <x:name val="Carlito"/>
    </x:font>
    <x:font>
      <x:b/>
      <x:sz val="11"/>
      <x:color rgb="FF9C6500"/>
      <x:name val="Carlito"/>
    </x:font>
    <x:font>
      <x:b/>
      <x:sz val="16"/>
      <x:color rgb="FFFFFFFF"/>
      <x:name val="Carlito"/>
    </x:font>
    <x:font>
      <x:b/>
      <x:sz val="11"/>
      <x:color rgb="FF17365D"/>
      <x:name val="Carlito"/>
    </x:font>
    <x:font>
      <x:sz val="11"/>
      <x:name val="Carlito"/>
    </x:font>
    <x:font>
      <x:b/>
      <x:sz val="14"/>
      <x:color rgb="FFFFFFFF"/>
      <x:name val="Carlito"/>
    </x:font>
    <x:font>
      <x:sz val="10"/>
      <x:color rgb="FF000000"/>
      <x:name val="Carlito"/>
    </x:font>
    <x:font>
      <x:sz val="11"/>
      <x:color rgb="FF1F1F1F"/>
      <x:name val="Carlito"/>
    </x:font>
    <x:font>
      <x:b/>
      <x:sz val="17"/>
      <x:color rgb="FF1F1F1F"/>
      <x:name val="Carlito"/>
    </x:font>
    <x:font>
      <x:b/>
      <x:sz val="12"/>
      <x:color rgb="FF1F1F1F"/>
      <x:name val="Carlito"/>
    </x:font>
    <x:font>
      <x:b/>
      <x:sz val="11"/>
      <x:color rgb="FF1F1F1F"/>
      <x:name val="Carlito"/>
    </x:font>
  </x:fonts>
  <x:fills count="65">
    <x:fill>
      <x:patternFill patternType="none"/>
    </x:fill>
    <x:fill>
      <x:patternFill patternType="gray125"/>
    </x:fill>
    <x:fill>
      <x:patternFill patternType="solid">
        <x:fgColor rgb="FF174C43"/>
      </x:patternFill>
    </x:fill>
    <x:fill>
      <x:patternFill patternType="solid">
        <x:fgColor rgb="FFEAF3EF"/>
      </x:patternFill>
    </x:fill>
    <x:fill>
      <x:patternFill patternType="solid">
        <x:fgColor rgb="FFFFF2CC"/>
      </x:patternFill>
    </x:fill>
    <x:fill>
      <x:patternFill patternType="solid">
        <x:fgColor rgb="FFDCEDEA"/>
      </x:patternFill>
    </x:fill>
    <x:fill>
      <x:patternFill patternType="solid">
        <x:fgColor rgb="FF2E7D6B"/>
      </x:patternFill>
    </x:fill>
    <x:fill>
      <x:patternFill patternType="solid">
        <x:fgColor rgb="FFF8EAC2"/>
      </x:patternFill>
    </x:fill>
    <x:fill>
      <x:patternFill patternType="solid">
        <x:fgColor rgb="FFE7E6E6"/>
      </x:patternFill>
    </x:fill>
    <x:fill>
      <x:patternFill patternType="solid">
        <x:fgColor rgb="FFE6B94A"/>
      </x:patternFill>
    </x:fill>
    <x:fill>
      <x:patternFill patternType="solid">
        <x:fgColor rgb="FFDCE6F1"/>
      </x:patternFill>
    </x:fill>
    <x:fill>
      <x:patternFill patternType="solid">
        <x:fgColor rgb="FFF4CCCC"/>
      </x:patternFill>
    </x:fill>
    <x:fill>
      <x:patternFill patternType="solid">
        <x:fgColor rgb="FF18324A"/>
      </x:patternFill>
    </x:fill>
    <x:fill>
      <x:patternFill patternType="solid">
        <x:fgColor rgb="FFFFF2CC"/>
      </x:patternFill>
    </x:fill>
    <x:fill>
      <x:patternFill patternType="solid">
        <x:fgColor rgb="FFDCEDEA"/>
      </x:patternFill>
    </x:fill>
    <x:fill>
      <x:patternFill patternType="solid">
        <x:fgColor rgb="FF2E7D6B"/>
      </x:patternFill>
    </x:fill>
    <x:fill>
      <x:patternFill patternType="solid">
        <x:fgColor rgb="FFF8EAC2"/>
      </x:patternFill>
    </x:fill>
    <x:fill>
      <x:patternFill patternType="solid">
        <x:fgColor rgb="FF174C43"/>
      </x:patternFill>
    </x:fill>
    <x:fill>
      <x:patternFill patternType="solid">
        <x:fgColor rgb="FFEAF3EF"/>
      </x:patternFill>
    </x:fill>
    <x:fill>
      <x:patternFill patternType="solid">
        <x:fgColor rgb="FFE6B94A"/>
      </x:patternFill>
    </x:fill>
    <x:fill>
      <x:patternFill patternType="solid">
        <x:fgColor rgb="FFF4CCCC"/>
      </x:patternFill>
    </x:fill>
    <x:fill>
      <x:patternFill patternType="solid">
        <x:fgColor rgb="FF18324A"/>
      </x:patternFill>
    </x:fill>
    <x:fill>
      <x:patternFill patternType="solid">
        <x:fgColor rgb="FF174C43"/>
      </x:patternFill>
    </x:fill>
    <x:fill>
      <x:patternFill patternType="solid">
        <x:fgColor rgb="FFEAF3EF"/>
      </x:patternFill>
    </x:fill>
    <x:fill>
      <x:patternFill patternType="solid">
        <x:fgColor rgb="FF2E7D6B"/>
      </x:patternFill>
    </x:fill>
    <x:fill>
      <x:patternFill patternType="solid">
        <x:fgColor rgb="FFF4CCCC"/>
      </x:patternFill>
    </x:fill>
    <x:fill>
      <x:patternFill patternType="solid">
        <x:fgColor rgb="FFE6B94A"/>
      </x:patternFill>
    </x:fill>
    <x:fill>
      <x:patternFill patternType="solid">
        <x:fgColor rgb="FFDCEDEA"/>
      </x:patternFill>
    </x:fill>
    <x:fill>
      <x:patternFill patternType="solid">
        <x:fgColor rgb="FF18324A"/>
      </x:patternFill>
    </x:fill>
    <x:fill>
      <x:patternFill patternType="solid">
        <x:fgColor rgb="FFFFF2CC"/>
      </x:patternFill>
    </x:fill>
    <x:fill>
      <x:patternFill patternType="solid">
        <x:fgColor rgb="FFF8EAC2"/>
      </x:patternFill>
    </x:fill>
    <x:fill>
      <x:patternFill patternType="solid">
        <x:fgColor rgb="FFFFF2CC"/>
      </x:patternFill>
    </x:fill>
    <x:fill>
      <x:patternFill patternType="solid">
        <x:fgColor rgb="FFDCEDEA"/>
      </x:patternFill>
    </x:fill>
    <x:fill>
      <x:patternFill patternType="solid">
        <x:fgColor rgb="FF174C43"/>
      </x:patternFill>
    </x:fill>
    <x:fill>
      <x:patternFill patternType="solid">
        <x:fgColor rgb="FFEAF3EF"/>
      </x:patternFill>
    </x:fill>
    <x:fill>
      <x:patternFill patternType="solid">
        <x:fgColor rgb="FF2E7D6B"/>
      </x:patternFill>
    </x:fill>
    <x:fill>
      <x:patternFill patternType="solid">
        <x:fgColor rgb="FFF8EAC2"/>
      </x:patternFill>
    </x:fill>
    <x:fill>
      <x:patternFill patternType="solid">
        <x:fgColor rgb="FFE6B94A"/>
      </x:patternFill>
    </x:fill>
    <x:fill>
      <x:patternFill patternType="solid">
        <x:fgColor rgb="FF2F7585"/>
      </x:patternFill>
    </x:fill>
    <x:fill>
      <x:patternFill patternType="solid">
        <x:fgColor rgb="FF17365D"/>
      </x:patternFill>
    </x:fill>
    <x:fill>
      <x:patternFill patternType="solid">
        <x:fgColor rgb="FFFCE4D6"/>
      </x:patternFill>
    </x:fill>
    <x:fill>
      <x:patternFill patternType="solid">
        <x:fgColor rgb="FFDDEBF7"/>
      </x:patternFill>
    </x:fill>
    <x:fill>
      <x:patternFill patternType="solid">
        <x:fgColor rgb="FFFFFFFF"/>
      </x:patternFill>
    </x:fill>
    <x:fill>
      <x:patternFill patternType="solid">
        <x:fgColor rgb="FFFFF2CC"/>
      </x:patternFill>
    </x:fill>
    <x:fill>
      <x:patternFill patternType="solid">
        <x:fgColor rgb="FF17365D"/>
      </x:patternFill>
    </x:fill>
    <x:fill>
      <x:patternFill patternType="solid">
        <x:fgColor rgb="FFDDEBF7"/>
      </x:patternFill>
    </x:fill>
    <x:fill>
      <x:patternFill patternType="solid">
        <x:fgColor rgb="FF2F7585"/>
      </x:patternFill>
    </x:fill>
    <x:fill>
      <x:patternFill patternType="solid">
        <x:fgColor rgb="FF9E480E"/>
      </x:patternFill>
    </x:fill>
    <x:fill>
      <x:patternFill patternType="solid">
        <x:fgColor rgb="FFE2F0D9"/>
      </x:patternFill>
    </x:fill>
    <x:fill>
      <x:patternFill patternType="solid">
        <x:fgColor rgb="FFFCE4D6"/>
      </x:patternFill>
    </x:fill>
    <x:fill>
      <x:patternFill patternType="solid">
        <x:fgColor rgb="FFFFF2CC"/>
      </x:patternFill>
    </x:fill>
    <x:fill>
      <x:patternFill patternType="solid">
        <x:fgColor rgb="FFFFFFFF"/>
      </x:patternFill>
    </x:fill>
    <x:fill>
      <x:patternFill patternType="solid">
        <x:fgColor rgb="FFFFFFFF"/>
      </x:patternFill>
    </x:fill>
    <x:fill>
      <x:patternFill patternType="solid">
        <x:fgColor rgb="FF17365D"/>
      </x:patternFill>
    </x:fill>
    <x:fill>
      <x:patternFill patternType="solid">
        <x:fgColor rgb="FFDDEBF7"/>
      </x:patternFill>
    </x:fill>
    <x:fill>
      <x:patternFill patternType="solid">
        <x:fgColor rgb="FFE2F0D9"/>
      </x:patternFill>
    </x:fill>
    <x:fill>
      <x:patternFill patternType="solid">
        <x:fgColor rgb="FF2F7585"/>
      </x:patternFill>
    </x:fill>
    <x:fill>
      <x:patternFill patternType="solid">
        <x:fgColor rgb="FFFFF2CC"/>
      </x:patternFill>
    </x:fill>
    <x:fill>
      <x:patternFill patternType="solid">
        <x:fgColor rgb="FFFCE4D6"/>
      </x:patternFill>
    </x:fill>
    <x:fill>
      <x:patternFill patternType="solid">
        <x:fgColor rgb="FFFFF2CC"/>
      </x:patternFill>
    </x:fill>
    <x:fill>
      <x:patternFill patternType="solid">
        <x:fgColor rgb="FFFCE4D6"/>
      </x:patternFill>
    </x:fill>
    <x:fill>
      <x:patternFill patternType="solid">
        <x:fgColor rgb="FF2F7585"/>
      </x:patternFill>
    </x:fill>
    <x:fill>
      <x:patternFill patternType="solid">
        <x:fgColor rgb="FFFFFFFF"/>
      </x:patternFill>
    </x:fill>
    <x:fill>
      <x:patternFill patternType="solid">
        <x:fgColor rgb="FFE2F0D9"/>
      </x:patternFill>
    </x:fill>
    <x:fill>
      <x:patternFill patternType="solid">
        <x:fgColor rgb="FFFFF2CC"/>
      </x:patternFill>
    </x:fill>
  </x:fills>
  <x:borders count="2">
    <x:border/>
    <x:border/>
  </x:borders>
  <x:cellStyleXfs count="1">
    <x:xf numFmtId="0" fontId="0" fillId="0" borderId="0"/>
  </x:cellStyleXfs>
  <x:cellXfs count="1451">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left"/>
    </x:xf>
    <x:xf numFmtId="0" fontId="1" fillId="2" borderId="0" xfId="0" applyNumberFormat="1" applyFont="1" applyFill="1" applyBorder="1" applyAlignment="1">
      <x:alignment horizontal="left" vertical="center"/>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horizontal="left"/>
    </x:xf>
    <x:xf numFmtId="0" fontId="1" fillId="2" borderId="1" xfId="0" applyNumberFormat="1" applyFont="1" applyFill="1" applyBorder="1" applyAlignment="1">
      <x:alignment horizontal="left" vertical="center"/>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wrapText="1"/>
    </x:xf>
    <x:xf numFmtId="0" fontId="2" fillId="3" borderId="0" xfId="0" applyNumberFormat="1" applyFont="1" applyFill="1" applyBorder="1" applyAlignment="1">
      <x:alignment vertical="center" wrapText="1"/>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wrapText="1"/>
    </x:xf>
    <x:xf numFmtId="0" fontId="2" fillId="3" borderId="1" xfId="0" applyNumberFormat="1" applyFont="1" applyFill="1" applyBorder="1" applyAlignment="1">
      <x:alignment vertical="center" wrapText="1"/>
    </x:xf>
    <x:xf numFmtId="0" fontId="3" fillId="2" borderId="0" xfId="0" applyNumberFormat="1" applyFont="1" applyFill="1" applyBorder="1"/>
    <x:xf numFmtId="0" fontId="3" fillId="2" borderId="0" xfId="0" applyNumberFormat="1" applyFont="1" applyFill="1" applyBorder="1" applyAlignment="1">
      <x:alignment wrapText="1"/>
    </x:xf>
    <x:xf numFmtId="0" fontId="3" fillId="2" borderId="0" xfId="0" applyNumberFormat="1" applyFont="1" applyFill="1" applyBorder="1" applyAlignment="1">
      <x:alignment horizontal="center" wrapText="1"/>
    </x:xf>
    <x:xf numFmtId="0" fontId="3" fillId="2" borderId="0" xfId="0" applyNumberFormat="1" applyFont="1" applyFill="1" applyBorder="1" applyAlignment="1">
      <x:alignment horizontal="center" vertical="center" wrapText="1"/>
    </x:xf>
    <x:xf numFmtId="0" fontId="3" fillId="2" borderId="1" xfId="0" applyNumberFormat="1" applyFont="1" applyFill="1" applyBorder="1"/>
    <x:xf numFmtId="0" fontId="3" fillId="2" borderId="1" xfId="0" applyNumberFormat="1" applyFont="1" applyFill="1" applyBorder="1" applyAlignment="1">
      <x:alignment wrapText="1"/>
    </x:xf>
    <x:xf numFmtId="0" fontId="3" fillId="2" borderId="1" xfId="0" applyNumberFormat="1" applyFont="1" applyFill="1" applyBorder="1" applyAlignment="1">
      <x:alignment horizontal="center" wrapText="1"/>
    </x:xf>
    <x:xf numFmtId="0" fontId="3" fillId="2" borderId="1" xfId="0" applyNumberFormat="1" applyFont="1" applyFill="1" applyBorder="1" applyAlignment="1">
      <x:alignment horizontal="center" vertical="center" wrapText="1"/>
    </x:xf>
    <x:xf numFmtId="0" fontId="0" fillId="0" borderId="0" xfId="0" applyNumberFormat="1" applyFont="1" applyFill="1" applyBorder="1" applyAlignment="1">
      <x:alignment wrapText="1"/>
    </x:xf>
    <x:xf numFmtId="0" fontId="0" fillId="0" borderId="1" xfId="0" applyNumberFormat="1" applyFont="1" applyFill="1" applyBorder="1" applyAlignment="1">
      <x:alignment wrapText="1"/>
    </x:xf>
    <x:xf numFmtId="0" fontId="0" fillId="0" borderId="0" xfId="0" applyNumberFormat="1" applyFont="1" applyFill="1" applyBorder="1" applyAlignment="1">
      <x:alignment vertical="top" wrapText="1"/>
    </x:xf>
    <x:xf numFmtId="0" fontId="0" fillId="0" borderId="1" xfId="0" applyNumberFormat="1" applyFont="1" applyFill="1" applyBorder="1" applyAlignment="1">
      <x:alignment vertical="top" wrapText="1"/>
    </x:xf>
    <x:xf numFmtId="0" fontId="4" fillId="0" borderId="0" xfId="0" applyNumberFormat="1" applyFont="1" applyFill="1" applyBorder="1" applyAlignment="1">
      <x:alignment vertical="top" wrapText="1"/>
    </x:xf>
    <x:xf numFmtId="0" fontId="4" fillId="0" borderId="1" xfId="0" applyNumberFormat="1" applyFont="1" applyFill="1" applyBorder="1" applyAlignment="1">
      <x:alignment vertical="top" wrapText="1"/>
    </x:xf>
    <x:xf numFmtId="0" fontId="5" fillId="0" borderId="0" xfId="0" applyNumberFormat="1" applyFont="1" applyFill="1" applyBorder="1" applyAlignment="1">
      <x:alignment vertical="top" wrapText="1"/>
    </x:xf>
    <x:xf numFmtId="0" fontId="5" fillId="0" borderId="1" xfId="0" applyNumberFormat="1" applyFont="1" applyFill="1" applyBorder="1" applyAlignment="1">
      <x:alignment vertical="top" wrapText="1"/>
    </x:xf>
    <x:xf numFmtId="0" fontId="4" fillId="4" borderId="0" xfId="0" applyNumberFormat="1" applyFont="1" applyFill="1" applyBorder="1" applyAlignment="1">
      <x:alignment vertical="top" wrapText="1"/>
    </x:xf>
    <x:xf numFmtId="0" fontId="0" fillId="4" borderId="0" xfId="0" applyNumberFormat="1" applyFont="1" applyFill="1" applyBorder="1" applyAlignment="1">
      <x:alignment vertical="top" wrapText="1"/>
    </x:xf>
    <x:xf numFmtId="0" fontId="5" fillId="4" borderId="0" xfId="0" applyNumberFormat="1" applyFont="1" applyFill="1" applyBorder="1" applyAlignment="1">
      <x:alignment vertical="top" wrapText="1"/>
    </x:xf>
    <x:xf numFmtId="0" fontId="4" fillId="4" borderId="1" xfId="0" applyNumberFormat="1" applyFont="1" applyFill="1" applyBorder="1" applyAlignment="1">
      <x:alignment vertical="top" wrapText="1"/>
    </x:xf>
    <x:xf numFmtId="0" fontId="0" fillId="4" borderId="1" xfId="0" applyNumberFormat="1" applyFont="1" applyFill="1" applyBorder="1" applyAlignment="1">
      <x:alignment vertical="top" wrapText="1"/>
    </x:xf>
    <x:xf numFmtId="0" fontId="5" fillId="4" borderId="1" xfId="0" applyNumberFormat="1" applyFont="1" applyFill="1" applyBorder="1" applyAlignment="1">
      <x:alignment vertical="top" wrapText="1"/>
    </x:xf>
    <x:xf numFmtId="0" fontId="5" fillId="0" borderId="0" xfId="0" applyNumberFormat="1" applyFont="1" applyFill="1" applyBorder="1" applyAlignment="1">
      <x:alignment horizontal="right" vertical="top" wrapText="1"/>
    </x:xf>
    <x:xf numFmtId="0" fontId="5" fillId="0" borderId="1" xfId="0" applyNumberFormat="1" applyFont="1" applyFill="1" applyBorder="1" applyAlignment="1">
      <x:alignment horizontal="right" vertical="top" wrapText="1"/>
    </x:xf>
    <x:xf numFmtId="200" fontId="5" fillId="0" borderId="0" xfId="0" applyNumberFormat="1" applyFont="1" applyFill="1" applyBorder="1" applyAlignment="1">
      <x:alignment horizontal="right" vertical="top" wrapText="1"/>
    </x:xf>
    <x:xf numFmtId="200" fontId="5" fillId="0" borderId="1" xfId="0" applyNumberFormat="1" applyFont="1" applyFill="1" applyBorder="1" applyAlignment="1">
      <x:alignment horizontal="right" vertical="top" wrapText="1"/>
    </x:xf>
    <x:xf numFmtId="201" fontId="5" fillId="0" borderId="0" xfId="0" applyNumberFormat="1" applyFont="1" applyFill="1" applyBorder="1" applyAlignment="1">
      <x:alignment horizontal="right" vertical="top" wrapText="1"/>
    </x:xf>
    <x:xf numFmtId="201" fontId="5" fillId="0" borderId="1" xfId="0" applyNumberFormat="1" applyFont="1" applyFill="1" applyBorder="1" applyAlignment="1">
      <x:alignment horizontal="right" vertical="top" wrapText="1"/>
    </x:xf>
    <x:xf numFmtId="202" fontId="5" fillId="0" borderId="0" xfId="0" applyNumberFormat="1" applyFont="1" applyFill="1" applyBorder="1" applyAlignment="1">
      <x:alignment horizontal="right" vertical="top" wrapText="1"/>
    </x:xf>
    <x:xf numFmtId="202" fontId="5" fillId="0" borderId="1" xfId="0" applyNumberFormat="1" applyFont="1" applyFill="1" applyBorder="1" applyAlignment="1">
      <x:alignment horizontal="right" vertical="top" wrapText="1"/>
    </x:xf>
    <x:xf numFmtId="203" fontId="5" fillId="0" borderId="0" xfId="0" applyNumberFormat="1" applyFont="1" applyFill="1" applyBorder="1" applyAlignment="1">
      <x:alignment horizontal="right" vertical="top" wrapText="1"/>
    </x:xf>
    <x:xf numFmtId="203" fontId="5" fillId="0" borderId="1" xfId="0" applyNumberFormat="1" applyFont="1" applyFill="1" applyBorder="1" applyAlignment="1">
      <x:alignment horizontal="right" vertical="top" wrapText="1"/>
    </x:xf>
    <x:xf numFmtId="201" fontId="5" fillId="4" borderId="0" xfId="0" applyNumberFormat="1" applyFont="1" applyFill="1" applyBorder="1" applyAlignment="1">
      <x:alignment horizontal="right" vertical="top" wrapText="1"/>
    </x:xf>
    <x:xf numFmtId="201" fontId="5" fillId="4" borderId="1" xfId="0" applyNumberFormat="1" applyFont="1" applyFill="1" applyBorder="1" applyAlignment="1">
      <x:alignment horizontal="right" vertical="top" wrapText="1"/>
    </x:xf>
    <x:xf numFmtId="200" fontId="5" fillId="4" borderId="0" xfId="0" applyNumberFormat="1" applyFont="1" applyFill="1" applyBorder="1" applyAlignment="1">
      <x:alignment horizontal="right" vertical="top" wrapText="1"/>
    </x:xf>
    <x:xf numFmtId="200" fontId="5" fillId="4" borderId="1" xfId="0" applyNumberFormat="1" applyFont="1" applyFill="1" applyBorder="1" applyAlignment="1">
      <x:alignment horizontal="right" vertical="top" wrapText="1"/>
    </x:xf>
    <x:xf numFmtId="202" fontId="5" fillId="4" borderId="0" xfId="0" applyNumberFormat="1" applyFont="1" applyFill="1" applyBorder="1" applyAlignment="1">
      <x:alignment horizontal="right" vertical="top" wrapText="1"/>
    </x:xf>
    <x:xf numFmtId="202" fontId="5" fillId="4" borderId="1" xfId="0" applyNumberFormat="1" applyFont="1" applyFill="1" applyBorder="1" applyAlignment="1">
      <x:alignment horizontal="right" vertical="top" wrapText="1"/>
    </x:xf>
    <x:xf numFmtId="0" fontId="5" fillId="4" borderId="0" xfId="0" applyNumberFormat="1" applyFont="1" applyFill="1" applyBorder="1" applyAlignment="1">
      <x:alignment horizontal="right" vertical="top" wrapText="1"/>
    </x:xf>
    <x:xf numFmtId="0" fontId="5" fillId="4" borderId="1" xfId="0" applyNumberFormat="1" applyFont="1" applyFill="1" applyBorder="1" applyAlignment="1">
      <x:alignment horizontal="right" vertical="top" wrapText="1"/>
    </x:xf>
    <x:xf numFmtId="0" fontId="0" fillId="5" borderId="0" xfId="0" applyNumberFormat="1" applyFont="1" applyFill="1" applyBorder="1" applyAlignment="1">
      <x:alignment vertical="top" wrapText="1"/>
    </x:xf>
    <x:xf numFmtId="200" fontId="5" fillId="5" borderId="0" xfId="0" applyNumberFormat="1" applyFont="1" applyFill="1" applyBorder="1" applyAlignment="1">
      <x:alignment horizontal="right" vertical="top" wrapText="1"/>
    </x:xf>
    <x:xf numFmtId="0" fontId="0" fillId="5" borderId="1" xfId="0" applyNumberFormat="1" applyFont="1" applyFill="1" applyBorder="1" applyAlignment="1">
      <x:alignment vertical="top" wrapText="1"/>
    </x:xf>
    <x:xf numFmtId="200" fontId="5" fillId="5" borderId="1" xfId="0" applyNumberFormat="1" applyFont="1" applyFill="1" applyBorder="1" applyAlignment="1">
      <x:alignment horizontal="right" vertical="top" wrapText="1"/>
    </x:xf>
    <x:xf numFmtId="0" fontId="6" fillId="5" borderId="0" xfId="0" applyNumberFormat="1" applyFont="1" applyFill="1" applyBorder="1" applyAlignment="1">
      <x:alignment vertical="top" wrapText="1"/>
    </x:xf>
    <x:xf numFmtId="0" fontId="6" fillId="5" borderId="1" xfId="0" applyNumberFormat="1" applyFont="1" applyFill="1" applyBorder="1" applyAlignment="1">
      <x:alignment vertical="top" wrapText="1"/>
    </x:xf>
    <x:xf numFmtId="203" fontId="5" fillId="5" borderId="0" xfId="0" applyNumberFormat="1" applyFont="1" applyFill="1" applyBorder="1" applyAlignment="1">
      <x:alignment horizontal="right" vertical="top" wrapText="1"/>
    </x:xf>
    <x:xf numFmtId="203" fontId="5" fillId="5" borderId="1" xfId="0" applyNumberFormat="1" applyFont="1" applyFill="1" applyBorder="1" applyAlignment="1">
      <x:alignment horizontal="right" vertical="top" wrapText="1"/>
    </x:xf>
    <x:xf numFmtId="0" fontId="0" fillId="6" borderId="0" xfId="0" applyNumberFormat="1" applyFont="1" applyFill="1" applyBorder="1"/>
    <x:xf numFmtId="0" fontId="7" fillId="6" borderId="0" xfId="0" applyNumberFormat="1" applyFont="1" applyFill="1" applyBorder="1"/>
    <x:xf numFmtId="0" fontId="7" fillId="6" borderId="0" xfId="0" applyNumberFormat="1" applyFont="1" applyFill="1" applyBorder="1" applyAlignment="1">
      <x:alignment horizontal="left"/>
    </x:xf>
    <x:xf numFmtId="0" fontId="7" fillId="6" borderId="0" xfId="0" applyNumberFormat="1" applyFont="1" applyFill="1" applyBorder="1" applyAlignment="1">
      <x:alignment horizontal="left" vertical="center"/>
    </x:xf>
    <x:xf numFmtId="0" fontId="0" fillId="6" borderId="1" xfId="0" applyNumberFormat="1" applyFont="1" applyFill="1" applyBorder="1"/>
    <x:xf numFmtId="0" fontId="7" fillId="6" borderId="1" xfId="0" applyNumberFormat="1" applyFont="1" applyFill="1" applyBorder="1"/>
    <x:xf numFmtId="0" fontId="7" fillId="6" borderId="1" xfId="0" applyNumberFormat="1" applyFont="1" applyFill="1" applyBorder="1" applyAlignment="1">
      <x:alignment horizontal="left"/>
    </x:xf>
    <x:xf numFmtId="0" fontId="7" fillId="6" borderId="1" xfId="0" applyNumberFormat="1" applyFont="1" applyFill="1" applyBorder="1" applyAlignment="1">
      <x:alignment horizontal="left" vertical="center"/>
    </x:xf>
    <x:xf numFmtId="0" fontId="0" fillId="7" borderId="0" xfId="0" applyNumberFormat="1" applyFont="1" applyFill="1" applyBorder="1"/>
    <x:xf numFmtId="0" fontId="8" fillId="7" borderId="0" xfId="0" applyNumberFormat="1" applyFont="1" applyFill="1" applyBorder="1"/>
    <x:xf numFmtId="0" fontId="8" fillId="7" borderId="0" xfId="0" applyNumberFormat="1" applyFont="1" applyFill="1" applyBorder="1" applyAlignment="1">
      <x:alignment vertical="center"/>
    </x:xf>
    <x:xf numFmtId="0" fontId="0" fillId="7" borderId="1" xfId="0" applyNumberFormat="1" applyFont="1" applyFill="1" applyBorder="1"/>
    <x:xf numFmtId="0" fontId="8" fillId="7" borderId="1" xfId="0" applyNumberFormat="1" applyFont="1" applyFill="1" applyBorder="1"/>
    <x:xf numFmtId="0" fontId="8" fillId="7" borderId="1" xfId="0" applyNumberFormat="1" applyFont="1" applyFill="1" applyBorder="1" applyAlignment="1">
      <x:alignment vertical="center"/>
    </x:xf>
    <x:xf numFmtId="0" fontId="0" fillId="8" borderId="0" xfId="0" applyNumberFormat="1" applyFont="1" applyFill="1" applyBorder="1"/>
    <x:xf numFmtId="0" fontId="8" fillId="8" borderId="0" xfId="0" applyNumberFormat="1" applyFont="1" applyFill="1" applyBorder="1"/>
    <x:xf numFmtId="0" fontId="8" fillId="8" borderId="0" xfId="0" applyNumberFormat="1" applyFont="1" applyFill="1" applyBorder="1" applyAlignment="1">
      <x:alignment vertical="center"/>
    </x:xf>
    <x:xf numFmtId="0" fontId="0" fillId="8" borderId="1" xfId="0" applyNumberFormat="1" applyFont="1" applyFill="1" applyBorder="1"/>
    <x:xf numFmtId="0" fontId="8" fillId="8" borderId="1" xfId="0" applyNumberFormat="1" applyFont="1" applyFill="1" applyBorder="1"/>
    <x:xf numFmtId="0" fontId="8" fillId="8" borderId="1" xfId="0" applyNumberFormat="1" applyFont="1" applyFill="1" applyBorder="1" applyAlignment="1">
      <x:alignment vertical="center"/>
    </x:xf>
    <x:xf numFmtId="0" fontId="0" fillId="9" borderId="0" xfId="0" applyNumberFormat="1" applyFont="1" applyFill="1" applyBorder="1"/>
    <x:xf numFmtId="0" fontId="8" fillId="9" borderId="0" xfId="0" applyNumberFormat="1" applyFont="1" applyFill="1" applyBorder="1"/>
    <x:xf numFmtId="0" fontId="8" fillId="9" borderId="0" xfId="0" applyNumberFormat="1" applyFont="1" applyFill="1" applyBorder="1" applyAlignment="1">
      <x:alignment vertical="center"/>
    </x:xf>
    <x:xf numFmtId="0" fontId="0" fillId="9" borderId="1" xfId="0" applyNumberFormat="1" applyFont="1" applyFill="1" applyBorder="1"/>
    <x:xf numFmtId="0" fontId="8" fillId="9" borderId="1" xfId="0" applyNumberFormat="1" applyFont="1" applyFill="1" applyBorder="1"/>
    <x:xf numFmtId="0" fontId="8" fillId="9" borderId="1" xfId="0" applyNumberFormat="1" applyFont="1" applyFill="1" applyBorder="1" applyAlignment="1">
      <x:alignment vertical="center"/>
    </x:xf>
    <x:xf numFmtId="0" fontId="7" fillId="6" borderId="0" xfId="0" applyNumberFormat="1" applyFont="1" applyFill="1" applyBorder="1" applyAlignment="1">
      <x:alignment horizontal="left" vertical="center" wrapText="1"/>
    </x:xf>
    <x:xf numFmtId="0" fontId="8" fillId="7" borderId="0" xfId="0" applyNumberFormat="1" applyFont="1" applyFill="1" applyBorder="1" applyAlignment="1">
      <x:alignment vertical="center" wrapText="1"/>
    </x:xf>
    <x:xf numFmtId="0" fontId="8" fillId="8" borderId="0" xfId="0" applyNumberFormat="1" applyFont="1" applyFill="1" applyBorder="1" applyAlignment="1">
      <x:alignment vertical="center" wrapText="1"/>
    </x:xf>
    <x:xf numFmtId="0" fontId="8" fillId="9" borderId="0" xfId="0" applyNumberFormat="1" applyFont="1" applyFill="1" applyBorder="1" applyAlignment="1">
      <x:alignment vertical="center" wrapText="1"/>
    </x:xf>
    <x:xf numFmtId="0" fontId="7" fillId="6" borderId="1" xfId="0" applyNumberFormat="1" applyFont="1" applyFill="1" applyBorder="1" applyAlignment="1">
      <x:alignment horizontal="left" vertical="center" wrapText="1"/>
    </x:xf>
    <x:xf numFmtId="0" fontId="8" fillId="7" borderId="1" xfId="0" applyNumberFormat="1" applyFont="1" applyFill="1" applyBorder="1" applyAlignment="1">
      <x:alignment vertical="center" wrapText="1"/>
    </x:xf>
    <x:xf numFmtId="0" fontId="8" fillId="8" borderId="1" xfId="0" applyNumberFormat="1" applyFont="1" applyFill="1" applyBorder="1" applyAlignment="1">
      <x:alignment vertical="center" wrapText="1"/>
    </x:xf>
    <x:xf numFmtId="0" fontId="8" fillId="9" borderId="1" xfId="0" applyNumberFormat="1" applyFont="1" applyFill="1" applyBorder="1" applyAlignment="1">
      <x:alignment vertical="center" wrapText="1"/>
    </x:xf>
    <x:xf numFmtId="0" fontId="7" fillId="6" borderId="0" xfId="0" applyNumberFormat="1" applyFont="1" applyFill="1" applyBorder="1" applyAlignment="1">
      <x:alignment horizontal="right" vertical="center" wrapText="1"/>
    </x:xf>
    <x:xf numFmtId="0" fontId="0" fillId="0" borderId="0" xfId="0" applyNumberFormat="1" applyFont="1" applyFill="1" applyBorder="1" applyAlignment="1">
      <x:alignment horizontal="right" wrapText="1"/>
    </x:xf>
    <x:xf numFmtId="0" fontId="8" fillId="7" borderId="0" xfId="0" applyNumberFormat="1" applyFont="1" applyFill="1" applyBorder="1" applyAlignment="1">
      <x:alignment horizontal="right" vertical="center" wrapText="1"/>
    </x:xf>
    <x:xf numFmtId="0" fontId="8" fillId="8" borderId="0" xfId="0" applyNumberFormat="1" applyFont="1" applyFill="1" applyBorder="1" applyAlignment="1">
      <x:alignment horizontal="right" vertical="center" wrapText="1"/>
    </x:xf>
    <x:xf numFmtId="0" fontId="8" fillId="9" borderId="0" xfId="0" applyNumberFormat="1" applyFont="1" applyFill="1" applyBorder="1" applyAlignment="1">
      <x:alignment horizontal="right" vertical="center" wrapText="1"/>
    </x:xf>
    <x:xf numFmtId="0" fontId="7" fillId="6" borderId="1" xfId="0" applyNumberFormat="1" applyFont="1" applyFill="1" applyBorder="1" applyAlignment="1">
      <x:alignment horizontal="right" vertical="center" wrapText="1"/>
    </x:xf>
    <x:xf numFmtId="0" fontId="0" fillId="0" borderId="1" xfId="0" applyNumberFormat="1" applyFont="1" applyFill="1" applyBorder="1" applyAlignment="1">
      <x:alignment horizontal="right" wrapText="1"/>
    </x:xf>
    <x:xf numFmtId="0" fontId="8" fillId="7" borderId="1" xfId="0" applyNumberFormat="1" applyFont="1" applyFill="1" applyBorder="1" applyAlignment="1">
      <x:alignment horizontal="right" vertical="center" wrapText="1"/>
    </x:xf>
    <x:xf numFmtId="0" fontId="8" fillId="8" borderId="1" xfId="0" applyNumberFormat="1" applyFont="1" applyFill="1" applyBorder="1" applyAlignment="1">
      <x:alignment horizontal="right" vertical="center" wrapText="1"/>
    </x:xf>
    <x:xf numFmtId="0" fontId="8" fillId="9" borderId="1" xfId="0" applyNumberFormat="1" applyFont="1" applyFill="1" applyBorder="1" applyAlignment="1">
      <x:alignment horizontal="right" vertical="center" wrapText="1"/>
    </x:xf>
    <x:xf numFmtId="203" fontId="7" fillId="6" borderId="0" xfId="0" applyNumberFormat="1" applyFont="1" applyFill="1" applyBorder="1" applyAlignment="1">
      <x:alignment horizontal="right" vertical="center" wrapText="1"/>
    </x:xf>
    <x:xf numFmtId="203" fontId="0" fillId="0" borderId="0" xfId="0" applyNumberFormat="1" applyFont="1" applyFill="1" applyBorder="1" applyAlignment="1">
      <x:alignment horizontal="right" wrapText="1"/>
    </x:xf>
    <x:xf numFmtId="203" fontId="8" fillId="7" borderId="0" xfId="0" applyNumberFormat="1" applyFont="1" applyFill="1" applyBorder="1" applyAlignment="1">
      <x:alignment horizontal="right" vertical="center" wrapText="1"/>
    </x:xf>
    <x:xf numFmtId="203" fontId="8" fillId="8" borderId="0" xfId="0" applyNumberFormat="1" applyFont="1" applyFill="1" applyBorder="1" applyAlignment="1">
      <x:alignment horizontal="right" vertical="center" wrapText="1"/>
    </x:xf>
    <x:xf numFmtId="203" fontId="8" fillId="9" borderId="0" xfId="0" applyNumberFormat="1" applyFont="1" applyFill="1" applyBorder="1" applyAlignment="1">
      <x:alignment horizontal="right" vertical="center" wrapText="1"/>
    </x:xf>
    <x:xf numFmtId="203" fontId="7" fillId="6" borderId="1" xfId="0" applyNumberFormat="1" applyFont="1" applyFill="1" applyBorder="1" applyAlignment="1">
      <x:alignment horizontal="right" vertical="center" wrapText="1"/>
    </x:xf>
    <x:xf numFmtId="203" fontId="0" fillId="0" borderId="1" xfId="0" applyNumberFormat="1" applyFont="1" applyFill="1" applyBorder="1" applyAlignment="1">
      <x:alignment horizontal="right" wrapText="1"/>
    </x:xf>
    <x:xf numFmtId="203" fontId="8" fillId="7" borderId="1" xfId="0" applyNumberFormat="1" applyFont="1" applyFill="1" applyBorder="1" applyAlignment="1">
      <x:alignment horizontal="right" vertical="center" wrapText="1"/>
    </x:xf>
    <x:xf numFmtId="203" fontId="8" fillId="8" borderId="1" xfId="0" applyNumberFormat="1" applyFont="1" applyFill="1" applyBorder="1" applyAlignment="1">
      <x:alignment horizontal="right" vertical="center" wrapText="1"/>
    </x:xf>
    <x:xf numFmtId="203" fontId="8" fillId="9" borderId="1" xfId="0" applyNumberFormat="1" applyFont="1" applyFill="1" applyBorder="1" applyAlignment="1">
      <x:alignment horizontal="right" vertical="center" wrapText="1"/>
    </x:xf>
    <x:xf numFmtId="0" fontId="4" fillId="6" borderId="0" xfId="0" applyNumberFormat="1" applyFont="1" applyFill="1" applyBorder="1" applyAlignment="1">
      <x:alignment horizontal="right" vertical="center" wrapText="1"/>
    </x:xf>
    <x:xf numFmtId="203" fontId="4" fillId="6" borderId="0" xfId="0" applyNumberFormat="1" applyFont="1" applyFill="1" applyBorder="1" applyAlignment="1">
      <x:alignment horizontal="right" vertical="center" wrapText="1"/>
    </x:xf>
    <x:xf numFmtId="0" fontId="5" fillId="0" borderId="0" xfId="0" applyNumberFormat="1" applyFont="1" applyFill="1" applyBorder="1" applyAlignment="1">
      <x:alignment horizontal="right" wrapText="1"/>
    </x:xf>
    <x:xf numFmtId="203" fontId="5" fillId="0" borderId="0" xfId="0" applyNumberFormat="1" applyFont="1" applyFill="1" applyBorder="1" applyAlignment="1">
      <x:alignment horizontal="right" wrapText="1"/>
    </x:xf>
    <x:xf numFmtId="0" fontId="4" fillId="7" borderId="0" xfId="0" applyNumberFormat="1" applyFont="1" applyFill="1" applyBorder="1" applyAlignment="1">
      <x:alignment horizontal="right" vertical="center" wrapText="1"/>
    </x:xf>
    <x:xf numFmtId="203" fontId="4" fillId="7" borderId="0" xfId="0" applyNumberFormat="1" applyFont="1" applyFill="1" applyBorder="1" applyAlignment="1">
      <x:alignment horizontal="right" vertical="center" wrapText="1"/>
    </x:xf>
    <x:xf numFmtId="0" fontId="4" fillId="8" borderId="0" xfId="0" applyNumberFormat="1" applyFont="1" applyFill="1" applyBorder="1" applyAlignment="1">
      <x:alignment horizontal="right" vertical="center" wrapText="1"/>
    </x:xf>
    <x:xf numFmtId="203" fontId="4" fillId="8" borderId="0" xfId="0" applyNumberFormat="1" applyFont="1" applyFill="1" applyBorder="1" applyAlignment="1">
      <x:alignment horizontal="right" vertical="center" wrapText="1"/>
    </x:xf>
    <x:xf numFmtId="0" fontId="4" fillId="9" borderId="0" xfId="0" applyNumberFormat="1" applyFont="1" applyFill="1" applyBorder="1" applyAlignment="1">
      <x:alignment horizontal="right" vertical="center" wrapText="1"/>
    </x:xf>
    <x:xf numFmtId="203" fontId="4" fillId="9" borderId="0" xfId="0" applyNumberFormat="1" applyFont="1" applyFill="1" applyBorder="1" applyAlignment="1">
      <x:alignment horizontal="right" vertical="center" wrapText="1"/>
    </x:xf>
    <x:xf numFmtId="0" fontId="4" fillId="6" borderId="1" xfId="0" applyNumberFormat="1" applyFont="1" applyFill="1" applyBorder="1" applyAlignment="1">
      <x:alignment horizontal="right" vertical="center" wrapText="1"/>
    </x:xf>
    <x:xf numFmtId="203" fontId="4" fillId="6" borderId="1" xfId="0" applyNumberFormat="1" applyFont="1" applyFill="1" applyBorder="1" applyAlignment="1">
      <x:alignment horizontal="right" vertical="center" wrapText="1"/>
    </x:xf>
    <x:xf numFmtId="0" fontId="5" fillId="0" borderId="1" xfId="0" applyNumberFormat="1" applyFont="1" applyFill="1" applyBorder="1" applyAlignment="1">
      <x:alignment horizontal="right" wrapText="1"/>
    </x:xf>
    <x:xf numFmtId="203" fontId="5" fillId="0" borderId="1" xfId="0" applyNumberFormat="1" applyFont="1" applyFill="1" applyBorder="1" applyAlignment="1">
      <x:alignment horizontal="right" wrapText="1"/>
    </x:xf>
    <x:xf numFmtId="0" fontId="4" fillId="7" borderId="1" xfId="0" applyNumberFormat="1" applyFont="1" applyFill="1" applyBorder="1" applyAlignment="1">
      <x:alignment horizontal="right" vertical="center" wrapText="1"/>
    </x:xf>
    <x:xf numFmtId="203" fontId="4" fillId="7" borderId="1" xfId="0" applyNumberFormat="1" applyFont="1" applyFill="1" applyBorder="1" applyAlignment="1">
      <x:alignment horizontal="right" vertical="center" wrapText="1"/>
    </x:xf>
    <x:xf numFmtId="0" fontId="4" fillId="8" borderId="1" xfId="0" applyNumberFormat="1" applyFont="1" applyFill="1" applyBorder="1" applyAlignment="1">
      <x:alignment horizontal="right" vertical="center" wrapText="1"/>
    </x:xf>
    <x:xf numFmtId="203" fontId="4" fillId="8" borderId="1" xfId="0" applyNumberFormat="1" applyFont="1" applyFill="1" applyBorder="1" applyAlignment="1">
      <x:alignment horizontal="right" vertical="center" wrapText="1"/>
    </x:xf>
    <x:xf numFmtId="0" fontId="4" fillId="9" borderId="1" xfId="0" applyNumberFormat="1" applyFont="1" applyFill="1" applyBorder="1" applyAlignment="1">
      <x:alignment horizontal="right" vertical="center" wrapText="1"/>
    </x:xf>
    <x:xf numFmtId="203" fontId="4" fillId="9" borderId="1" xfId="0" applyNumberFormat="1" applyFont="1" applyFill="1" applyBorder="1" applyAlignment="1">
      <x:alignment horizontal="right" vertical="center" wrapText="1"/>
    </x:xf>
    <x:xf numFmtId="203" fontId="8" fillId="6" borderId="0" xfId="0" applyNumberFormat="1" applyFont="1" applyFill="1" applyBorder="1" applyAlignment="1">
      <x:alignment horizontal="right" vertical="center" wrapText="1"/>
    </x:xf>
    <x:xf numFmtId="203" fontId="9" fillId="0" borderId="0" xfId="0" applyNumberFormat="1" applyFont="1" applyFill="1" applyBorder="1" applyAlignment="1">
      <x:alignment horizontal="right" wrapText="1"/>
    </x:xf>
    <x:xf numFmtId="203" fontId="8" fillId="6" borderId="1" xfId="0" applyNumberFormat="1" applyFont="1" applyFill="1" applyBorder="1" applyAlignment="1">
      <x:alignment horizontal="right" vertical="center" wrapText="1"/>
    </x:xf>
    <x:xf numFmtId="203" fontId="9" fillId="0" borderId="1" xfId="0" applyNumberFormat="1" applyFont="1" applyFill="1" applyBorder="1" applyAlignment="1">
      <x:alignment horizontal="right" wrapText="1"/>
    </x:xf>
    <x:xf numFmtId="203" fontId="5" fillId="4" borderId="0" xfId="0" applyNumberFormat="1" applyFont="1" applyFill="1" applyBorder="1" applyAlignment="1">
      <x:alignment horizontal="right" wrapText="1"/>
    </x:xf>
    <x:xf numFmtId="203" fontId="9" fillId="4" borderId="0" xfId="0" applyNumberFormat="1" applyFont="1" applyFill="1" applyBorder="1" applyAlignment="1">
      <x:alignment horizontal="right" wrapText="1"/>
    </x:xf>
    <x:xf numFmtId="0" fontId="0" fillId="4" borderId="0" xfId="0" applyNumberFormat="1" applyFont="1" applyFill="1" applyBorder="1" applyAlignment="1">
      <x:alignment wrapText="1"/>
    </x:xf>
    <x:xf numFmtId="203" fontId="5" fillId="4" borderId="1" xfId="0" applyNumberFormat="1" applyFont="1" applyFill="1" applyBorder="1" applyAlignment="1">
      <x:alignment horizontal="right" wrapText="1"/>
    </x:xf>
    <x:xf numFmtId="203" fontId="9" fillId="4" borderId="1" xfId="0" applyNumberFormat="1" applyFont="1" applyFill="1" applyBorder="1" applyAlignment="1">
      <x:alignment horizontal="right" wrapText="1"/>
    </x:xf>
    <x:xf numFmtId="0" fontId="0" fillId="4" borderId="1" xfId="0" applyNumberFormat="1" applyFont="1" applyFill="1" applyBorder="1" applyAlignment="1">
      <x:alignment wrapText="1"/>
    </x:xf>
    <x:xf numFmtId="0" fontId="6" fillId="7" borderId="0" xfId="0" applyNumberFormat="1" applyFont="1" applyFill="1" applyBorder="1"/>
    <x:xf numFmtId="0" fontId="6" fillId="7" borderId="0" xfId="0" applyNumberFormat="1" applyFont="1" applyFill="1" applyBorder="1" applyAlignment="1">
      <x:alignment wrapText="1"/>
    </x:xf>
    <x:xf numFmtId="0" fontId="6" fillId="7" borderId="0" xfId="0" applyNumberFormat="1" applyFont="1" applyFill="1" applyBorder="1" applyAlignment="1">
      <x:alignment vertical="center" wrapText="1"/>
    </x:xf>
    <x:xf numFmtId="0" fontId="6" fillId="7" borderId="1" xfId="0" applyNumberFormat="1" applyFont="1" applyFill="1" applyBorder="1"/>
    <x:xf numFmtId="0" fontId="6" fillId="7" borderId="1" xfId="0" applyNumberFormat="1" applyFont="1" applyFill="1" applyBorder="1" applyAlignment="1">
      <x:alignment wrapText="1"/>
    </x:xf>
    <x:xf numFmtId="0" fontId="6" fillId="7" borderId="1" xfId="0" applyNumberFormat="1" applyFont="1" applyFill="1" applyBorder="1" applyAlignment="1">
      <x:alignment vertical="center" wrapText="1"/>
    </x:xf>
    <x:xf numFmtId="0" fontId="10" fillId="0" borderId="0" xfId="0" applyNumberFormat="1" applyFont="1" applyFill="1" applyBorder="1"/>
    <x:xf numFmtId="0" fontId="10" fillId="0" borderId="1" xfId="0" applyNumberFormat="1" applyFont="1" applyFill="1" applyBorder="1"/>
    <x:xf numFmtId="203" fontId="0" fillId="0" borderId="0" xfId="0" applyNumberFormat="1" applyFont="1" applyFill="1" applyBorder="1"/>
    <x:xf numFmtId="203" fontId="0" fillId="0" borderId="1" xfId="0" applyNumberFormat="1" applyFont="1" applyFill="1" applyBorder="1"/>
    <x:xf numFmtId="203" fontId="11" fillId="0" borderId="0" xfId="0" applyNumberFormat="1" applyFont="1" applyFill="1" applyBorder="1"/>
    <x:xf numFmtId="203" fontId="11" fillId="0" borderId="1" xfId="0" applyNumberFormat="1" applyFont="1" applyFill="1" applyBorder="1"/>
    <x:xf numFmtId="0" fontId="10" fillId="5" borderId="0" xfId="0" applyNumberFormat="1" applyFont="1" applyFill="1" applyBorder="1"/>
    <x:xf numFmtId="203" fontId="11" fillId="5" borderId="0" xfId="0" applyNumberFormat="1" applyFont="1" applyFill="1" applyBorder="1"/>
    <x:xf numFmtId="0" fontId="10" fillId="5" borderId="1" xfId="0" applyNumberFormat="1" applyFont="1" applyFill="1" applyBorder="1"/>
    <x:xf numFmtId="203" fontId="11" fillId="5" borderId="1" xfId="0" applyNumberFormat="1" applyFont="1" applyFill="1" applyBorder="1"/>
    <x:xf numFmtId="0" fontId="10" fillId="0" borderId="0" xfId="0" applyNumberFormat="1" applyFont="1" applyFill="1" applyBorder="1" applyAlignment="1">
      <x:alignment wrapText="1"/>
    </x:xf>
    <x:xf numFmtId="203" fontId="11" fillId="0" borderId="0" xfId="0" applyNumberFormat="1" applyFont="1" applyFill="1" applyBorder="1" applyAlignment="1">
      <x:alignment wrapText="1"/>
    </x:xf>
    <x:xf numFmtId="0" fontId="10" fillId="5" borderId="0" xfId="0" applyNumberFormat="1" applyFont="1" applyFill="1" applyBorder="1" applyAlignment="1">
      <x:alignment wrapText="1"/>
    </x:xf>
    <x:xf numFmtId="203" fontId="11" fillId="5" borderId="0" xfId="0" applyNumberFormat="1" applyFont="1" applyFill="1" applyBorder="1" applyAlignment="1">
      <x:alignment wrapText="1"/>
    </x:xf>
    <x:xf numFmtId="0" fontId="10" fillId="0" borderId="1" xfId="0" applyNumberFormat="1" applyFont="1" applyFill="1" applyBorder="1" applyAlignment="1">
      <x:alignment wrapText="1"/>
    </x:xf>
    <x:xf numFmtId="203" fontId="11" fillId="0" borderId="1" xfId="0" applyNumberFormat="1" applyFont="1" applyFill="1" applyBorder="1" applyAlignment="1">
      <x:alignment wrapText="1"/>
    </x:xf>
    <x:xf numFmtId="0" fontId="10" fillId="5" borderId="1" xfId="0" applyNumberFormat="1" applyFont="1" applyFill="1" applyBorder="1" applyAlignment="1">
      <x:alignment wrapText="1"/>
    </x:xf>
    <x:xf numFmtId="203" fontId="11" fillId="5" borderId="1" xfId="0" applyNumberFormat="1" applyFont="1" applyFill="1" applyBorder="1" applyAlignment="1">
      <x:alignment wrapText="1"/>
    </x:xf>
    <x:xf numFmtId="203" fontId="7" fillId="6" borderId="0" xfId="0" applyNumberFormat="1" applyFont="1" applyFill="1" applyBorder="1" applyAlignment="1">
      <x:alignment horizontal="left" vertical="center" wrapText="1"/>
    </x:xf>
    <x:xf numFmtId="203" fontId="0" fillId="0" borderId="0" xfId="0" applyNumberFormat="1" applyFont="1" applyFill="1" applyBorder="1" applyAlignment="1">
      <x:alignment wrapText="1"/>
    </x:xf>
    <x:xf numFmtId="203" fontId="8" fillId="7" borderId="0" xfId="0" applyNumberFormat="1" applyFont="1" applyFill="1" applyBorder="1" applyAlignment="1">
      <x:alignment vertical="center" wrapText="1"/>
    </x:xf>
    <x:xf numFmtId="203" fontId="8" fillId="8" borderId="0" xfId="0" applyNumberFormat="1" applyFont="1" applyFill="1" applyBorder="1" applyAlignment="1">
      <x:alignment vertical="center" wrapText="1"/>
    </x:xf>
    <x:xf numFmtId="203" fontId="8" fillId="9" borderId="0" xfId="0" applyNumberFormat="1" applyFont="1" applyFill="1" applyBorder="1" applyAlignment="1">
      <x:alignment vertical="center" wrapText="1"/>
    </x:xf>
    <x:xf numFmtId="203" fontId="7" fillId="6" borderId="1" xfId="0" applyNumberFormat="1" applyFont="1" applyFill="1" applyBorder="1" applyAlignment="1">
      <x:alignment horizontal="left" vertical="center" wrapText="1"/>
    </x:xf>
    <x:xf numFmtId="203" fontId="0" fillId="0" borderId="1" xfId="0" applyNumberFormat="1" applyFont="1" applyFill="1" applyBorder="1" applyAlignment="1">
      <x:alignment wrapText="1"/>
    </x:xf>
    <x:xf numFmtId="203" fontId="8" fillId="7" borderId="1" xfId="0" applyNumberFormat="1" applyFont="1" applyFill="1" applyBorder="1" applyAlignment="1">
      <x:alignment vertical="center" wrapText="1"/>
    </x:xf>
    <x:xf numFmtId="203" fontId="8" fillId="8" borderId="1" xfId="0" applyNumberFormat="1" applyFont="1" applyFill="1" applyBorder="1" applyAlignment="1">
      <x:alignment vertical="center" wrapText="1"/>
    </x:xf>
    <x:xf numFmtId="203" fontId="8" fillId="9" borderId="1" xfId="0" applyNumberFormat="1" applyFont="1" applyFill="1" applyBorder="1" applyAlignment="1">
      <x:alignment vertical="center" wrapText="1"/>
    </x:xf>
    <x:xf numFmtId="202" fontId="7" fillId="6" borderId="0" xfId="0" applyNumberFormat="1" applyFont="1" applyFill="1" applyBorder="1" applyAlignment="1">
      <x:alignment horizontal="left" vertical="center" wrapText="1"/>
    </x:xf>
    <x:xf numFmtId="202" fontId="0" fillId="0" borderId="0" xfId="0" applyNumberFormat="1" applyFont="1" applyFill="1" applyBorder="1" applyAlignment="1">
      <x:alignment wrapText="1"/>
    </x:xf>
    <x:xf numFmtId="202" fontId="8" fillId="7" borderId="0" xfId="0" applyNumberFormat="1" applyFont="1" applyFill="1" applyBorder="1" applyAlignment="1">
      <x:alignment vertical="center" wrapText="1"/>
    </x:xf>
    <x:xf numFmtId="202" fontId="8" fillId="8" borderId="0" xfId="0" applyNumberFormat="1" applyFont="1" applyFill="1" applyBorder="1" applyAlignment="1">
      <x:alignment vertical="center" wrapText="1"/>
    </x:xf>
    <x:xf numFmtId="202" fontId="8" fillId="9" borderId="0" xfId="0" applyNumberFormat="1" applyFont="1" applyFill="1" applyBorder="1" applyAlignment="1">
      <x:alignment vertical="center" wrapText="1"/>
    </x:xf>
    <x:xf numFmtId="202" fontId="7" fillId="6" borderId="1" xfId="0" applyNumberFormat="1" applyFont="1" applyFill="1" applyBorder="1" applyAlignment="1">
      <x:alignment horizontal="left" vertical="center" wrapText="1"/>
    </x:xf>
    <x:xf numFmtId="202" fontId="0" fillId="0" borderId="1" xfId="0" applyNumberFormat="1" applyFont="1" applyFill="1" applyBorder="1" applyAlignment="1">
      <x:alignment wrapText="1"/>
    </x:xf>
    <x:xf numFmtId="202" fontId="8" fillId="7" borderId="1" xfId="0" applyNumberFormat="1" applyFont="1" applyFill="1" applyBorder="1" applyAlignment="1">
      <x:alignment vertical="center" wrapText="1"/>
    </x:xf>
    <x:xf numFmtId="202" fontId="8" fillId="8" borderId="1" xfId="0" applyNumberFormat="1" applyFont="1" applyFill="1" applyBorder="1" applyAlignment="1">
      <x:alignment vertical="center" wrapText="1"/>
    </x:xf>
    <x:xf numFmtId="202" fontId="8" fillId="9" borderId="1" xfId="0" applyNumberFormat="1" applyFont="1" applyFill="1" applyBorder="1" applyAlignment="1">
      <x:alignment vertical="center" wrapText="1"/>
    </x:xf>
    <x:xf numFmtId="0" fontId="4" fillId="6" borderId="0" xfId="0" applyNumberFormat="1" applyFont="1" applyFill="1" applyBorder="1" applyAlignment="1">
      <x:alignment horizontal="left" vertical="center" wrapText="1"/>
    </x:xf>
    <x:xf numFmtId="203" fontId="4" fillId="6" borderId="0" xfId="0" applyNumberFormat="1" applyFont="1" applyFill="1" applyBorder="1" applyAlignment="1">
      <x:alignment horizontal="left" vertical="center" wrapText="1"/>
    </x:xf>
    <x:xf numFmtId="202" fontId="4" fillId="6" borderId="0" xfId="0" applyNumberFormat="1" applyFont="1" applyFill="1" applyBorder="1" applyAlignment="1">
      <x:alignment horizontal="left" vertical="center" wrapText="1"/>
    </x:xf>
    <x:xf numFmtId="0" fontId="5" fillId="0" borderId="0" xfId="0" applyNumberFormat="1" applyFont="1" applyFill="1" applyBorder="1" applyAlignment="1">
      <x:alignment wrapText="1"/>
    </x:xf>
    <x:xf numFmtId="203" fontId="5" fillId="0" borderId="0" xfId="0" applyNumberFormat="1" applyFont="1" applyFill="1" applyBorder="1" applyAlignment="1">
      <x:alignment wrapText="1"/>
    </x:xf>
    <x:xf numFmtId="202" fontId="5" fillId="0" borderId="0" xfId="0" applyNumberFormat="1" applyFont="1" applyFill="1" applyBorder="1" applyAlignment="1">
      <x:alignment wrapText="1"/>
    </x:xf>
    <x:xf numFmtId="0" fontId="4" fillId="7" borderId="0" xfId="0" applyNumberFormat="1" applyFont="1" applyFill="1" applyBorder="1" applyAlignment="1">
      <x:alignment vertical="center" wrapText="1"/>
    </x:xf>
    <x:xf numFmtId="203" fontId="4" fillId="7" borderId="0" xfId="0" applyNumberFormat="1" applyFont="1" applyFill="1" applyBorder="1" applyAlignment="1">
      <x:alignment vertical="center" wrapText="1"/>
    </x:xf>
    <x:xf numFmtId="202" fontId="4" fillId="7" borderId="0" xfId="0" applyNumberFormat="1" applyFont="1" applyFill="1" applyBorder="1" applyAlignment="1">
      <x:alignment vertical="center" wrapText="1"/>
    </x:xf>
    <x:xf numFmtId="0" fontId="4" fillId="8" borderId="0" xfId="0" applyNumberFormat="1" applyFont="1" applyFill="1" applyBorder="1" applyAlignment="1">
      <x:alignment vertical="center" wrapText="1"/>
    </x:xf>
    <x:xf numFmtId="203" fontId="4" fillId="8" borderId="0" xfId="0" applyNumberFormat="1" applyFont="1" applyFill="1" applyBorder="1" applyAlignment="1">
      <x:alignment vertical="center" wrapText="1"/>
    </x:xf>
    <x:xf numFmtId="202" fontId="4" fillId="8" borderId="0" xfId="0" applyNumberFormat="1" applyFont="1" applyFill="1" applyBorder="1" applyAlignment="1">
      <x:alignment vertical="center" wrapText="1"/>
    </x:xf>
    <x:xf numFmtId="0" fontId="4" fillId="9" borderId="0" xfId="0" applyNumberFormat="1" applyFont="1" applyFill="1" applyBorder="1" applyAlignment="1">
      <x:alignment vertical="center" wrapText="1"/>
    </x:xf>
    <x:xf numFmtId="203" fontId="4" fillId="9" borderId="0" xfId="0" applyNumberFormat="1" applyFont="1" applyFill="1" applyBorder="1" applyAlignment="1">
      <x:alignment vertical="center" wrapText="1"/>
    </x:xf>
    <x:xf numFmtId="202" fontId="4" fillId="9" borderId="0" xfId="0" applyNumberFormat="1" applyFont="1" applyFill="1" applyBorder="1" applyAlignment="1">
      <x:alignment vertical="center" wrapText="1"/>
    </x:xf>
    <x:xf numFmtId="0" fontId="4" fillId="6" borderId="1" xfId="0" applyNumberFormat="1" applyFont="1" applyFill="1" applyBorder="1" applyAlignment="1">
      <x:alignment horizontal="left" vertical="center" wrapText="1"/>
    </x:xf>
    <x:xf numFmtId="203" fontId="4" fillId="6" borderId="1" xfId="0" applyNumberFormat="1" applyFont="1" applyFill="1" applyBorder="1" applyAlignment="1">
      <x:alignment horizontal="left" vertical="center" wrapText="1"/>
    </x:xf>
    <x:xf numFmtId="202" fontId="4" fillId="6" borderId="1" xfId="0" applyNumberFormat="1" applyFont="1" applyFill="1" applyBorder="1" applyAlignment="1">
      <x:alignment horizontal="left" vertical="center" wrapText="1"/>
    </x:xf>
    <x:xf numFmtId="0" fontId="5" fillId="0" borderId="1" xfId="0" applyNumberFormat="1" applyFont="1" applyFill="1" applyBorder="1" applyAlignment="1">
      <x:alignment wrapText="1"/>
    </x:xf>
    <x:xf numFmtId="203" fontId="5" fillId="0" borderId="1" xfId="0" applyNumberFormat="1" applyFont="1" applyFill="1" applyBorder="1" applyAlignment="1">
      <x:alignment wrapText="1"/>
    </x:xf>
    <x:xf numFmtId="202" fontId="5" fillId="0" borderId="1" xfId="0" applyNumberFormat="1" applyFont="1" applyFill="1" applyBorder="1" applyAlignment="1">
      <x:alignment wrapText="1"/>
    </x:xf>
    <x:xf numFmtId="0" fontId="4" fillId="7" borderId="1" xfId="0" applyNumberFormat="1" applyFont="1" applyFill="1" applyBorder="1" applyAlignment="1">
      <x:alignment vertical="center" wrapText="1"/>
    </x:xf>
    <x:xf numFmtId="203" fontId="4" fillId="7" borderId="1" xfId="0" applyNumberFormat="1" applyFont="1" applyFill="1" applyBorder="1" applyAlignment="1">
      <x:alignment vertical="center" wrapText="1"/>
    </x:xf>
    <x:xf numFmtId="202" fontId="4" fillId="7" borderId="1" xfId="0" applyNumberFormat="1" applyFont="1" applyFill="1" applyBorder="1" applyAlignment="1">
      <x:alignment vertical="center" wrapText="1"/>
    </x:xf>
    <x:xf numFmtId="0" fontId="4" fillId="8" borderId="1" xfId="0" applyNumberFormat="1" applyFont="1" applyFill="1" applyBorder="1" applyAlignment="1">
      <x:alignment vertical="center" wrapText="1"/>
    </x:xf>
    <x:xf numFmtId="203" fontId="4" fillId="8" borderId="1" xfId="0" applyNumberFormat="1" applyFont="1" applyFill="1" applyBorder="1" applyAlignment="1">
      <x:alignment vertical="center" wrapText="1"/>
    </x:xf>
    <x:xf numFmtId="202" fontId="4" fillId="8" borderId="1" xfId="0" applyNumberFormat="1" applyFont="1" applyFill="1" applyBorder="1" applyAlignment="1">
      <x:alignment vertical="center" wrapText="1"/>
    </x:xf>
    <x:xf numFmtId="0" fontId="4" fillId="9" borderId="1" xfId="0" applyNumberFormat="1" applyFont="1" applyFill="1" applyBorder="1" applyAlignment="1">
      <x:alignment vertical="center" wrapText="1"/>
    </x:xf>
    <x:xf numFmtId="203" fontId="4" fillId="9" borderId="1" xfId="0" applyNumberFormat="1" applyFont="1" applyFill="1" applyBorder="1" applyAlignment="1">
      <x:alignment vertical="center" wrapText="1"/>
    </x:xf>
    <x:xf numFmtId="202" fontId="4" fillId="9" borderId="1" xfId="0" applyNumberFormat="1" applyFont="1" applyFill="1" applyBorder="1" applyAlignment="1">
      <x:alignment vertical="center" wrapText="1"/>
    </x:xf>
    <x:xf numFmtId="203" fontId="8" fillId="6" borderId="0" xfId="0" applyNumberFormat="1" applyFont="1" applyFill="1" applyBorder="1" applyAlignment="1">
      <x:alignment horizontal="left" vertical="center" wrapText="1"/>
    </x:xf>
    <x:xf numFmtId="203" fontId="9" fillId="0" borderId="0" xfId="0" applyNumberFormat="1" applyFont="1" applyFill="1" applyBorder="1" applyAlignment="1">
      <x:alignment wrapText="1"/>
    </x:xf>
    <x:xf numFmtId="203" fontId="8" fillId="6" borderId="1" xfId="0" applyNumberFormat="1" applyFont="1" applyFill="1" applyBorder="1" applyAlignment="1">
      <x:alignment horizontal="left" vertical="center" wrapText="1"/>
    </x:xf>
    <x:xf numFmtId="203" fontId="9" fillId="0" borderId="1" xfId="0" applyNumberFormat="1" applyFont="1" applyFill="1" applyBorder="1" applyAlignment="1">
      <x:alignment wrapText="1"/>
    </x:xf>
    <x:xf numFmtId="203" fontId="5" fillId="4" borderId="0" xfId="0" applyNumberFormat="1" applyFont="1" applyFill="1" applyBorder="1" applyAlignment="1">
      <x:alignment wrapText="1"/>
    </x:xf>
    <x:xf numFmtId="202" fontId="5" fillId="4" borderId="0" xfId="0" applyNumberFormat="1" applyFont="1" applyFill="1" applyBorder="1" applyAlignment="1">
      <x:alignment wrapText="1"/>
    </x:xf>
    <x:xf numFmtId="203" fontId="9" fillId="4" borderId="0" xfId="0" applyNumberFormat="1" applyFont="1" applyFill="1" applyBorder="1" applyAlignment="1">
      <x:alignment wrapText="1"/>
    </x:xf>
    <x:xf numFmtId="203" fontId="5" fillId="4" borderId="1" xfId="0" applyNumberFormat="1" applyFont="1" applyFill="1" applyBorder="1" applyAlignment="1">
      <x:alignment wrapText="1"/>
    </x:xf>
    <x:xf numFmtId="202" fontId="5" fillId="4" borderId="1" xfId="0" applyNumberFormat="1" applyFont="1" applyFill="1" applyBorder="1" applyAlignment="1">
      <x:alignment wrapText="1"/>
    </x:xf>
    <x:xf numFmtId="203" fontId="9" fillId="4" borderId="1" xfId="0" applyNumberFormat="1" applyFont="1" applyFill="1" applyBorder="1" applyAlignment="1">
      <x:alignment wrapText="1"/>
    </x:xf>
    <x:xf numFmtId="0" fontId="0" fillId="10" borderId="0" xfId="0" applyNumberFormat="1" applyFont="1" applyFill="1" applyBorder="1"/>
    <x:xf numFmtId="0" fontId="12" fillId="10" borderId="0" xfId="0" applyNumberFormat="1" applyFont="1" applyFill="1" applyBorder="1"/>
    <x:xf numFmtId="0" fontId="12" fillId="10" borderId="0" xfId="0" applyNumberFormat="1" applyFont="1" applyFill="1" applyBorder="1" applyAlignment="1">
      <x:alignment wrapText="1"/>
    </x:xf>
    <x:xf numFmtId="0" fontId="0" fillId="10" borderId="1" xfId="0" applyNumberFormat="1" applyFont="1" applyFill="1" applyBorder="1"/>
    <x:xf numFmtId="0" fontId="12" fillId="10" borderId="1" xfId="0" applyNumberFormat="1" applyFont="1" applyFill="1" applyBorder="1"/>
    <x:xf numFmtId="0" fontId="12" fillId="10" borderId="1" xfId="0" applyNumberFormat="1" applyFont="1" applyFill="1" applyBorder="1" applyAlignment="1">
      <x:alignment wrapText="1"/>
    </x:xf>
    <x:xf numFmtId="203" fontId="7" fillId="6" borderId="0" xfId="0" applyNumberFormat="1" applyFont="1" applyFill="1" applyBorder="1" applyAlignment="1">
      <x:alignment horizontal="left" vertical="center"/>
    </x:xf>
    <x:xf numFmtId="203" fontId="8" fillId="7" borderId="0" xfId="0" applyNumberFormat="1" applyFont="1" applyFill="1" applyBorder="1" applyAlignment="1">
      <x:alignment vertical="center"/>
    </x:xf>
    <x:xf numFmtId="203" fontId="8" fillId="8" borderId="0" xfId="0" applyNumberFormat="1" applyFont="1" applyFill="1" applyBorder="1" applyAlignment="1">
      <x:alignment vertical="center"/>
    </x:xf>
    <x:xf numFmtId="203" fontId="8" fillId="9" borderId="0" xfId="0" applyNumberFormat="1" applyFont="1" applyFill="1" applyBorder="1" applyAlignment="1">
      <x:alignment vertical="center"/>
    </x:xf>
    <x:xf numFmtId="203" fontId="7" fillId="6" borderId="1" xfId="0" applyNumberFormat="1" applyFont="1" applyFill="1" applyBorder="1" applyAlignment="1">
      <x:alignment horizontal="left" vertical="center"/>
    </x:xf>
    <x:xf numFmtId="203" fontId="8" fillId="7" borderId="1" xfId="0" applyNumberFormat="1" applyFont="1" applyFill="1" applyBorder="1" applyAlignment="1">
      <x:alignment vertical="center"/>
    </x:xf>
    <x:xf numFmtId="203" fontId="8" fillId="8" borderId="1" xfId="0" applyNumberFormat="1" applyFont="1" applyFill="1" applyBorder="1" applyAlignment="1">
      <x:alignment vertical="center"/>
    </x:xf>
    <x:xf numFmtId="203" fontId="8" fillId="9" borderId="1" xfId="0" applyNumberFormat="1" applyFont="1" applyFill="1" applyBorder="1" applyAlignment="1">
      <x:alignment vertical="center"/>
    </x:xf>
    <x:xf numFmtId="203" fontId="8" fillId="6" borderId="0" xfId="0" applyNumberFormat="1" applyFont="1" applyFill="1" applyBorder="1" applyAlignment="1">
      <x:alignment horizontal="left" vertical="center"/>
    </x:xf>
    <x:xf numFmtId="203" fontId="9" fillId="0" borderId="0" xfId="0" applyNumberFormat="1" applyFont="1" applyFill="1" applyBorder="1"/>
    <x:xf numFmtId="203" fontId="8" fillId="6" borderId="1" xfId="0" applyNumberFormat="1" applyFont="1" applyFill="1" applyBorder="1" applyAlignment="1">
      <x:alignment horizontal="left" vertical="center"/>
    </x:xf>
    <x:xf numFmtId="203" fontId="9" fillId="0" borderId="1" xfId="0" applyNumberFormat="1" applyFont="1" applyFill="1" applyBorder="1"/>
    <x:xf numFmtId="0" fontId="0" fillId="11" borderId="0" xfId="0" applyNumberFormat="1" applyFont="1" applyFill="1" applyBorder="1"/>
    <x:xf numFmtId="0" fontId="0" fillId="11" borderId="1" xfId="0" applyNumberFormat="1" applyFont="1" applyFill="1" applyBorder="1"/>
    <x:xf numFmtId="0" fontId="13" fillId="11" borderId="0" xfId="0" applyNumberFormat="1" applyFont="1" applyFill="1" applyBorder="1"/>
    <x:xf numFmtId="0" fontId="13" fillId="11" borderId="1" xfId="0" applyNumberFormat="1" applyFont="1" applyFill="1" applyBorder="1"/>
    <x:xf numFmtId="200" fontId="0" fillId="0" borderId="0" xfId="0" applyNumberFormat="1" applyFont="1" applyFill="1" applyBorder="1"/>
    <x:xf numFmtId="200" fontId="0" fillId="0" borderId="1" xfId="0" applyNumberFormat="1" applyFont="1" applyFill="1" applyBorder="1"/>
    <x:xf numFmtId="202" fontId="0" fillId="0" borderId="0" xfId="0" applyNumberFormat="1" applyFont="1" applyFill="1" applyBorder="1"/>
    <x:xf numFmtId="202" fontId="0" fillId="0" borderId="1" xfId="0" applyNumberFormat="1" applyFont="1" applyFill="1" applyBorder="1"/>
    <x:xf numFmtId="204" fontId="0" fillId="0" borderId="0" xfId="0" applyNumberFormat="1" applyFont="1" applyFill="1" applyBorder="1"/>
    <x:xf numFmtId="204" fontId="0" fillId="0" borderId="1" xfId="0" applyNumberFormat="1" applyFont="1" applyFill="1" applyBorder="1"/>
    <x:xf numFmtId="203" fontId="14" fillId="6" borderId="0" xfId="0" applyNumberFormat="1" applyFont="1" applyFill="1" applyBorder="1" applyAlignment="1">
      <x:alignment horizontal="left" vertical="center"/>
    </x:xf>
    <x:xf numFmtId="200" fontId="11" fillId="0" borderId="0" xfId="0" applyNumberFormat="1" applyFont="1" applyFill="1" applyBorder="1"/>
    <x:xf numFmtId="202" fontId="11" fillId="0" borderId="0" xfId="0" applyNumberFormat="1" applyFont="1" applyFill="1" applyBorder="1"/>
    <x:xf numFmtId="204" fontId="11" fillId="0" borderId="0" xfId="0" applyNumberFormat="1" applyFont="1" applyFill="1" applyBorder="1"/>
    <x:xf numFmtId="0" fontId="11" fillId="0" borderId="0" xfId="0" applyNumberFormat="1" applyFont="1" applyFill="1" applyBorder="1"/>
    <x:xf numFmtId="0" fontId="14" fillId="6" borderId="0" xfId="0" applyNumberFormat="1" applyFont="1" applyFill="1" applyBorder="1" applyAlignment="1">
      <x:alignment horizontal="left" vertical="center"/>
    </x:xf>
    <x:xf numFmtId="203" fontId="14" fillId="6" borderId="1" xfId="0" applyNumberFormat="1" applyFont="1" applyFill="1" applyBorder="1" applyAlignment="1">
      <x:alignment horizontal="left" vertical="center"/>
    </x:xf>
    <x:xf numFmtId="200" fontId="11" fillId="0" borderId="1" xfId="0" applyNumberFormat="1" applyFont="1" applyFill="1" applyBorder="1"/>
    <x:xf numFmtId="202" fontId="11" fillId="0" borderId="1" xfId="0" applyNumberFormat="1" applyFont="1" applyFill="1" applyBorder="1"/>
    <x:xf numFmtId="204" fontId="11" fillId="0" borderId="1" xfId="0" applyNumberFormat="1" applyFont="1" applyFill="1" applyBorder="1"/>
    <x:xf numFmtId="0" fontId="11" fillId="0" borderId="1" xfId="0" applyNumberFormat="1" applyFont="1" applyFill="1" applyBorder="1"/>
    <x:xf numFmtId="0" fontId="14" fillId="6" borderId="1" xfId="0" applyNumberFormat="1" applyFont="1" applyFill="1" applyBorder="1" applyAlignment="1">
      <x:alignment horizontal="left" vertical="center"/>
    </x:xf>
    <x:xf numFmtId="203" fontId="14" fillId="6" borderId="0" xfId="0" applyNumberFormat="1" applyFont="1" applyFill="1" applyBorder="1" applyAlignment="1">
      <x:alignment horizontal="left" vertical="center" wrapText="1"/>
    </x:xf>
    <x:xf numFmtId="200" fontId="11" fillId="0" borderId="0" xfId="0" applyNumberFormat="1" applyFont="1" applyFill="1" applyBorder="1" applyAlignment="1">
      <x:alignment wrapText="1"/>
    </x:xf>
    <x:xf numFmtId="202" fontId="11" fillId="0" borderId="0" xfId="0" applyNumberFormat="1" applyFont="1" applyFill="1" applyBorder="1" applyAlignment="1">
      <x:alignment wrapText="1"/>
    </x:xf>
    <x:xf numFmtId="204" fontId="11" fillId="0" borderId="0" xfId="0" applyNumberFormat="1" applyFont="1" applyFill="1" applyBorder="1" applyAlignment="1">
      <x:alignment wrapText="1"/>
    </x:xf>
    <x:xf numFmtId="0" fontId="11" fillId="0" borderId="0" xfId="0" applyNumberFormat="1" applyFont="1" applyFill="1" applyBorder="1" applyAlignment="1">
      <x:alignment wrapText="1"/>
    </x:xf>
    <x:xf numFmtId="0" fontId="14" fillId="6" borderId="0" xfId="0" applyNumberFormat="1" applyFont="1" applyFill="1" applyBorder="1" applyAlignment="1">
      <x:alignment horizontal="left" vertical="center" wrapText="1"/>
    </x:xf>
    <x:xf numFmtId="0" fontId="13" fillId="11" borderId="0" xfId="0" applyNumberFormat="1" applyFont="1" applyFill="1" applyBorder="1" applyAlignment="1">
      <x:alignment wrapText="1"/>
    </x:xf>
    <x:xf numFmtId="203" fontId="14" fillId="6" borderId="1" xfId="0" applyNumberFormat="1" applyFont="1" applyFill="1" applyBorder="1" applyAlignment="1">
      <x:alignment horizontal="left" vertical="center" wrapText="1"/>
    </x:xf>
    <x:xf numFmtId="200" fontId="11" fillId="0" borderId="1" xfId="0" applyNumberFormat="1" applyFont="1" applyFill="1" applyBorder="1" applyAlignment="1">
      <x:alignment wrapText="1"/>
    </x:xf>
    <x:xf numFmtId="202" fontId="11" fillId="0" borderId="1" xfId="0" applyNumberFormat="1" applyFont="1" applyFill="1" applyBorder="1" applyAlignment="1">
      <x:alignment wrapText="1"/>
    </x:xf>
    <x:xf numFmtId="204" fontId="11" fillId="0" borderId="1" xfId="0" applyNumberFormat="1" applyFont="1" applyFill="1" applyBorder="1" applyAlignment="1">
      <x:alignment wrapText="1"/>
    </x:xf>
    <x:xf numFmtId="0" fontId="11" fillId="0" borderId="1" xfId="0" applyNumberFormat="1" applyFont="1" applyFill="1" applyBorder="1" applyAlignment="1">
      <x:alignment wrapText="1"/>
    </x:xf>
    <x:xf numFmtId="0" fontId="14" fillId="6" borderId="1" xfId="0" applyNumberFormat="1" applyFont="1" applyFill="1" applyBorder="1" applyAlignment="1">
      <x:alignment horizontal="left" vertical="center" wrapText="1"/>
    </x:xf>
    <x:xf numFmtId="0" fontId="13" fillId="11" borderId="1" xfId="0" applyNumberFormat="1" applyFont="1" applyFill="1" applyBorder="1" applyAlignment="1">
      <x:alignment wrapText="1"/>
    </x:xf>
    <x:xf numFmtId="0" fontId="13" fillId="0" borderId="0" xfId="0" applyNumberFormat="1" applyFont="1" applyFill="1" applyBorder="1" applyAlignment="1">
      <x:alignment vertical="top" wrapText="1"/>
    </x:xf>
    <x:xf numFmtId="0" fontId="13" fillId="0" borderId="1" xfId="0" applyNumberFormat="1" applyFont="1" applyFill="1" applyBorder="1" applyAlignment="1">
      <x:alignment vertical="top" wrapText="1"/>
    </x:xf>
    <x:xf numFmtId="0" fontId="13" fillId="4" borderId="0" xfId="0" applyNumberFormat="1" applyFont="1" applyFill="1" applyBorder="1" applyAlignment="1">
      <x:alignment vertical="top" wrapText="1"/>
    </x:xf>
    <x:xf numFmtId="0" fontId="13" fillId="4" borderId="1" xfId="0" applyNumberFormat="1" applyFont="1" applyFill="1" applyBorder="1" applyAlignment="1">
      <x:alignment vertical="top" wrapText="1"/>
    </x:xf>
    <x:xf numFmtId="0" fontId="15" fillId="7" borderId="0" xfId="0" applyNumberFormat="1" applyFont="1" applyFill="1" applyBorder="1"/>
    <x:xf numFmtId="0" fontId="15" fillId="7" borderId="0" xfId="0" applyNumberFormat="1" applyFont="1" applyFill="1" applyBorder="1" applyAlignment="1">
      <x:alignment wrapText="1"/>
    </x:xf>
    <x:xf numFmtId="0" fontId="15" fillId="7" borderId="0" xfId="0" applyNumberFormat="1" applyFont="1" applyFill="1" applyBorder="1" applyAlignment="1">
      <x:alignment horizontal="left" wrapText="1"/>
    </x:xf>
    <x:xf numFmtId="0" fontId="15" fillId="7" borderId="0" xfId="0" applyNumberFormat="1" applyFont="1" applyFill="1" applyBorder="1" applyAlignment="1">
      <x:alignment horizontal="left" vertical="center" wrapText="1"/>
    </x:xf>
    <x:xf numFmtId="0" fontId="15" fillId="7" borderId="1" xfId="0" applyNumberFormat="1" applyFont="1" applyFill="1" applyBorder="1"/>
    <x:xf numFmtId="0" fontId="15" fillId="7" borderId="1" xfId="0" applyNumberFormat="1" applyFont="1" applyFill="1" applyBorder="1" applyAlignment="1">
      <x:alignment wrapText="1"/>
    </x:xf>
    <x:xf numFmtId="0" fontId="15" fillId="7" borderId="1" xfId="0" applyNumberFormat="1" applyFont="1" applyFill="1" applyBorder="1" applyAlignment="1">
      <x:alignment horizontal="left" wrapText="1"/>
    </x:xf>
    <x:xf numFmtId="0" fontId="15" fillId="7" borderId="1" xfId="0" applyNumberFormat="1" applyFont="1" applyFill="1" applyBorder="1" applyAlignment="1">
      <x:alignment horizontal="left" vertical="center" wrapText="1"/>
    </x:xf>
    <x:xf numFmtId="205" fontId="0" fillId="0" borderId="0" xfId="0" applyNumberFormat="1" applyFont="1" applyFill="1" applyBorder="1"/>
    <x:xf numFmtId="205" fontId="0" fillId="0" borderId="1" xfId="0" applyNumberFormat="1" applyFont="1" applyFill="1" applyBorder="1"/>
    <x:xf numFmtId="205" fontId="11" fillId="0" borderId="0" xfId="0" applyNumberFormat="1" applyFont="1" applyFill="1" applyBorder="1"/>
    <x:xf numFmtId="205" fontId="11" fillId="0" borderId="1" xfId="0" applyNumberFormat="1" applyFont="1" applyFill="1" applyBorder="1"/>
    <x:xf numFmtId="0" fontId="0" fillId="5" borderId="0" xfId="0" applyNumberFormat="1" applyFont="1" applyFill="1" applyBorder="1"/>
    <x:xf numFmtId="205" fontId="11" fillId="5" borderId="0" xfId="0" applyNumberFormat="1" applyFont="1" applyFill="1" applyBorder="1"/>
    <x:xf numFmtId="0" fontId="0" fillId="5" borderId="1" xfId="0" applyNumberFormat="1" applyFont="1" applyFill="1" applyBorder="1"/>
    <x:xf numFmtId="205" fontId="11" fillId="5" borderId="1" xfId="0" applyNumberFormat="1" applyFont="1" applyFill="1" applyBorder="1"/>
    <x:xf numFmtId="205" fontId="11" fillId="0" borderId="0" xfId="0" applyNumberFormat="1" applyFont="1" applyFill="1" applyBorder="1" applyAlignment="1">
      <x:alignment wrapText="1"/>
    </x:xf>
    <x:xf numFmtId="0" fontId="0" fillId="5" borderId="0" xfId="0" applyNumberFormat="1" applyFont="1" applyFill="1" applyBorder="1" applyAlignment="1">
      <x:alignment wrapText="1"/>
    </x:xf>
    <x:xf numFmtId="205" fontId="11" fillId="5" borderId="0" xfId="0" applyNumberFormat="1" applyFont="1" applyFill="1" applyBorder="1" applyAlignment="1">
      <x:alignment wrapText="1"/>
    </x:xf>
    <x:xf numFmtId="205" fontId="11" fillId="0" borderId="1" xfId="0" applyNumberFormat="1" applyFont="1" applyFill="1" applyBorder="1" applyAlignment="1">
      <x:alignment wrapText="1"/>
    </x:xf>
    <x:xf numFmtId="0" fontId="0" fillId="5" borderId="1" xfId="0" applyNumberFormat="1" applyFont="1" applyFill="1" applyBorder="1" applyAlignment="1">
      <x:alignment wrapText="1"/>
    </x:xf>
    <x:xf numFmtId="205" fontId="11" fillId="5" borderId="1" xfId="0" applyNumberFormat="1" applyFont="1" applyFill="1" applyBorder="1" applyAlignment="1">
      <x:alignment wrapText="1"/>
    </x:xf>
    <x:xf numFmtId="0" fontId="0" fillId="11" borderId="0" xfId="0" applyNumberFormat="1" applyFont="1" applyFill="1" applyBorder="1" applyAlignment="1">
      <x:alignment wrapText="1"/>
    </x:xf>
    <x:xf numFmtId="204" fontId="11" fillId="11" borderId="0" xfId="0" applyNumberFormat="1" applyFont="1" applyFill="1" applyBorder="1" applyAlignment="1">
      <x:alignment wrapText="1"/>
    </x:xf>
    <x:xf numFmtId="0" fontId="0" fillId="11" borderId="1" xfId="0" applyNumberFormat="1" applyFont="1" applyFill="1" applyBorder="1" applyAlignment="1">
      <x:alignment wrapText="1"/>
    </x:xf>
    <x:xf numFmtId="204" fontId="11" fillId="11" borderId="1" xfId="0" applyNumberFormat="1" applyFont="1" applyFill="1" applyBorder="1" applyAlignment="1">
      <x:alignment wrapText="1"/>
    </x:xf>
    <x:xf numFmtId="204" fontId="13" fillId="11" borderId="0" xfId="0" applyNumberFormat="1" applyFont="1" applyFill="1" applyBorder="1" applyAlignment="1">
      <x:alignment wrapText="1"/>
    </x:xf>
    <x:xf numFmtId="204" fontId="13" fillId="11" borderId="1" xfId="0" applyNumberFormat="1" applyFont="1" applyFill="1" applyBorder="1" applyAlignment="1">
      <x:alignment wrapText="1"/>
    </x:xf>
    <x:xf numFmtId="0" fontId="16" fillId="3" borderId="0" xfId="0" applyNumberFormat="1" applyFont="1" applyFill="1" applyBorder="1"/>
    <x:xf numFmtId="0" fontId="16" fillId="3" borderId="0" xfId="0" applyNumberFormat="1" applyFont="1" applyFill="1" applyBorder="1" applyAlignment="1">
      <x:alignment wrapText="1"/>
    </x:xf>
    <x:xf numFmtId="0" fontId="16" fillId="3" borderId="0" xfId="0" applyNumberFormat="1" applyFont="1" applyFill="1" applyBorder="1" applyAlignment="1">
      <x:alignment vertical="top" wrapText="1"/>
    </x:xf>
    <x:xf numFmtId="0" fontId="16" fillId="3" borderId="1" xfId="0" applyNumberFormat="1" applyFont="1" applyFill="1" applyBorder="1"/>
    <x:xf numFmtId="0" fontId="16" fillId="3" borderId="1" xfId="0" applyNumberFormat="1" applyFont="1" applyFill="1" applyBorder="1" applyAlignment="1">
      <x:alignment wrapText="1"/>
    </x:xf>
    <x:xf numFmtId="0" fontId="16" fillId="3" borderId="1" xfId="0" applyNumberFormat="1" applyFont="1" applyFill="1" applyBorder="1" applyAlignment="1">
      <x:alignment vertical="top" wrapText="1"/>
    </x:xf>
    <x:xf numFmtId="0" fontId="13" fillId="4" borderId="0" xfId="0" applyNumberFormat="1" applyFont="1" applyFill="1" applyBorder="1" applyAlignment="1">
      <x:alignment wrapText="1"/>
    </x:xf>
    <x:xf numFmtId="0" fontId="13" fillId="4" borderId="1" xfId="0" applyNumberFormat="1" applyFont="1" applyFill="1" applyBorder="1" applyAlignment="1">
      <x:alignment wrapText="1"/>
    </x:xf>
    <x:xf numFmtId="0" fontId="0" fillId="12" borderId="0" xfId="0" applyNumberFormat="1" applyFont="1" applyFill="1" applyBorder="1"/>
    <x:xf numFmtId="0" fontId="3" fillId="12" borderId="0" xfId="0" applyNumberFormat="1" applyFont="1" applyFill="1" applyBorder="1"/>
    <x:xf numFmtId="0" fontId="3" fillId="12" borderId="0" xfId="0" applyNumberFormat="1" applyFont="1" applyFill="1" applyBorder="1" applyAlignment="1">
      <x:alignment wrapText="1"/>
    </x:xf>
    <x:xf numFmtId="0" fontId="3" fillId="12" borderId="0" xfId="0" applyNumberFormat="1" applyFont="1" applyFill="1" applyBorder="1" applyAlignment="1">
      <x:alignment horizontal="center" wrapText="1"/>
    </x:xf>
    <x:xf numFmtId="0" fontId="3" fillId="12" borderId="0" xfId="0" applyNumberFormat="1" applyFont="1" applyFill="1" applyBorder="1" applyAlignment="1">
      <x:alignment horizontal="center" vertical="center" wrapText="1"/>
    </x:xf>
    <x:xf numFmtId="0" fontId="0" fillId="12" borderId="1" xfId="0" applyNumberFormat="1" applyFont="1" applyFill="1" applyBorder="1"/>
    <x:xf numFmtId="0" fontId="3" fillId="12" borderId="1" xfId="0" applyNumberFormat="1" applyFont="1" applyFill="1" applyBorder="1"/>
    <x:xf numFmtId="0" fontId="3" fillId="12" borderId="1" xfId="0" applyNumberFormat="1" applyFont="1" applyFill="1" applyBorder="1" applyAlignment="1">
      <x:alignment wrapText="1"/>
    </x:xf>
    <x:xf numFmtId="0" fontId="3" fillId="12" borderId="1" xfId="0" applyNumberFormat="1" applyFont="1" applyFill="1" applyBorder="1" applyAlignment="1">
      <x:alignment horizontal="center" wrapText="1"/>
    </x:xf>
    <x:xf numFmtId="0" fontId="3" fillId="12" borderId="1" xfId="0" applyNumberFormat="1" applyFont="1" applyFill="1" applyBorder="1" applyAlignment="1">
      <x:alignment horizontal="center" vertical="center" wrapText="1"/>
    </x:xf>
    <x:xf numFmtId="0" fontId="1" fillId="2" borderId="0" xfId="0" applyNumberFormat="1" applyFont="1" applyFill="1" applyBorder="1" applyAlignment="1">
      <x:alignment horizontal="left" vertical="top"/>
    </x:xf>
    <x:xf numFmtId="0" fontId="0" fillId="0" borderId="0" xfId="0" applyNumberFormat="1" applyFont="1" applyFill="1" applyBorder="1" applyAlignment="1">
      <x:alignment vertical="top"/>
    </x:xf>
    <x:xf numFmtId="0" fontId="2" fillId="3" borderId="0" xfId="0" applyNumberFormat="1" applyFont="1" applyFill="1" applyBorder="1" applyAlignment="1">
      <x:alignment vertical="top" wrapText="1"/>
    </x:xf>
    <x:xf numFmtId="0" fontId="15" fillId="7" borderId="0" xfId="0" applyNumberFormat="1" applyFont="1" applyFill="1" applyBorder="1" applyAlignment="1">
      <x:alignment horizontal="left" vertical="top" wrapText="1"/>
    </x:xf>
    <x:xf numFmtId="0" fontId="7" fillId="6" borderId="0" xfId="0" applyNumberFormat="1" applyFont="1" applyFill="1" applyBorder="1" applyAlignment="1">
      <x:alignment horizontal="left" vertical="top"/>
    </x:xf>
    <x:xf numFmtId="0" fontId="3" fillId="2" borderId="0" xfId="0" applyNumberFormat="1" applyFont="1" applyFill="1" applyBorder="1" applyAlignment="1">
      <x:alignment horizontal="center" vertical="top" wrapText="1"/>
    </x:xf>
    <x:xf numFmtId="205" fontId="11" fillId="0" borderId="0" xfId="0" applyNumberFormat="1" applyFont="1" applyFill="1" applyBorder="1" applyAlignment="1">
      <x:alignment vertical="top" wrapText="1"/>
    </x:xf>
    <x:xf numFmtId="203" fontId="11" fillId="0" borderId="0" xfId="0" applyNumberFormat="1" applyFont="1" applyFill="1" applyBorder="1" applyAlignment="1">
      <x:alignment vertical="top" wrapText="1"/>
    </x:xf>
    <x:xf numFmtId="205" fontId="11" fillId="5" borderId="0" xfId="0" applyNumberFormat="1" applyFont="1" applyFill="1" applyBorder="1" applyAlignment="1">
      <x:alignment vertical="top" wrapText="1"/>
    </x:xf>
    <x:xf numFmtId="202" fontId="11" fillId="0" borderId="0" xfId="0" applyNumberFormat="1" applyFont="1" applyFill="1" applyBorder="1" applyAlignment="1">
      <x:alignment vertical="top" wrapText="1"/>
    </x:xf>
    <x:xf numFmtId="200" fontId="11" fillId="0" borderId="0" xfId="0" applyNumberFormat="1" applyFont="1" applyFill="1" applyBorder="1" applyAlignment="1">
      <x:alignment vertical="top" wrapText="1"/>
    </x:xf>
    <x:xf numFmtId="0" fontId="13" fillId="11" borderId="0" xfId="0" applyNumberFormat="1" applyFont="1" applyFill="1" applyBorder="1" applyAlignment="1">
      <x:alignment vertical="top" wrapText="1"/>
    </x:xf>
    <x:xf numFmtId="204" fontId="13" fillId="11" borderId="0" xfId="0" applyNumberFormat="1" applyFont="1" applyFill="1" applyBorder="1" applyAlignment="1">
      <x:alignment vertical="top" wrapText="1"/>
    </x:xf>
    <x:xf numFmtId="0" fontId="3" fillId="12" borderId="0" xfId="0" applyNumberFormat="1" applyFont="1" applyFill="1" applyBorder="1" applyAlignment="1">
      <x:alignment horizontal="center" vertical="top" wrapText="1"/>
    </x:xf>
    <x:xf numFmtId="205" fontId="11" fillId="0" borderId="0" xfId="0" applyNumberFormat="1" applyFont="1" applyFill="1" applyBorder="1" applyAlignment="1">
      <x:alignment vertical="top"/>
    </x:xf>
    <x:xf numFmtId="0" fontId="1" fillId="2" borderId="1" xfId="0" applyNumberFormat="1" applyFont="1" applyFill="1" applyBorder="1" applyAlignment="1">
      <x:alignment horizontal="left" vertical="top"/>
    </x:xf>
    <x:xf numFmtId="0" fontId="0" fillId="0" borderId="1" xfId="0" applyNumberFormat="1" applyFont="1" applyFill="1" applyBorder="1" applyAlignment="1">
      <x:alignment vertical="top"/>
    </x:xf>
    <x:xf numFmtId="0" fontId="2" fillId="3" borderId="1" xfId="0" applyNumberFormat="1" applyFont="1" applyFill="1" applyBorder="1" applyAlignment="1">
      <x:alignment vertical="top" wrapText="1"/>
    </x:xf>
    <x:xf numFmtId="0" fontId="15" fillId="7" borderId="1" xfId="0" applyNumberFormat="1" applyFont="1" applyFill="1" applyBorder="1" applyAlignment="1">
      <x:alignment horizontal="left" vertical="top" wrapText="1"/>
    </x:xf>
    <x:xf numFmtId="0" fontId="7" fillId="6" borderId="1" xfId="0" applyNumberFormat="1" applyFont="1" applyFill="1" applyBorder="1" applyAlignment="1">
      <x:alignment horizontal="left" vertical="top"/>
    </x:xf>
    <x:xf numFmtId="0" fontId="3" fillId="2" borderId="1" xfId="0" applyNumberFormat="1" applyFont="1" applyFill="1" applyBorder="1" applyAlignment="1">
      <x:alignment horizontal="center" vertical="top" wrapText="1"/>
    </x:xf>
    <x:xf numFmtId="205" fontId="11" fillId="0" borderId="1" xfId="0" applyNumberFormat="1" applyFont="1" applyFill="1" applyBorder="1" applyAlignment="1">
      <x:alignment vertical="top" wrapText="1"/>
    </x:xf>
    <x:xf numFmtId="203" fontId="11" fillId="0" borderId="1" xfId="0" applyNumberFormat="1" applyFont="1" applyFill="1" applyBorder="1" applyAlignment="1">
      <x:alignment vertical="top" wrapText="1"/>
    </x:xf>
    <x:xf numFmtId="205" fontId="11" fillId="5" borderId="1" xfId="0" applyNumberFormat="1" applyFont="1" applyFill="1" applyBorder="1" applyAlignment="1">
      <x:alignment vertical="top" wrapText="1"/>
    </x:xf>
    <x:xf numFmtId="202" fontId="11" fillId="0" borderId="1" xfId="0" applyNumberFormat="1" applyFont="1" applyFill="1" applyBorder="1" applyAlignment="1">
      <x:alignment vertical="top" wrapText="1"/>
    </x:xf>
    <x:xf numFmtId="200" fontId="11" fillId="0" borderId="1" xfId="0" applyNumberFormat="1" applyFont="1" applyFill="1" applyBorder="1" applyAlignment="1">
      <x:alignment vertical="top" wrapText="1"/>
    </x:xf>
    <x:xf numFmtId="0" fontId="13" fillId="11" borderId="1" xfId="0" applyNumberFormat="1" applyFont="1" applyFill="1" applyBorder="1" applyAlignment="1">
      <x:alignment vertical="top" wrapText="1"/>
    </x:xf>
    <x:xf numFmtId="204" fontId="13" fillId="11" borderId="1" xfId="0" applyNumberFormat="1" applyFont="1" applyFill="1" applyBorder="1" applyAlignment="1">
      <x:alignment vertical="top" wrapText="1"/>
    </x:xf>
    <x:xf numFmtId="0" fontId="3" fillId="12" borderId="1" xfId="0" applyNumberFormat="1" applyFont="1" applyFill="1" applyBorder="1" applyAlignment="1">
      <x:alignment horizontal="center" vertical="top" wrapText="1"/>
    </x:xf>
    <x:xf numFmtId="205" fontId="11" fillId="0" borderId="1" xfId="0" applyNumberFormat="1" applyFont="1" applyFill="1" applyBorder="1" applyAlignment="1">
      <x:alignment vertical="top"/>
    </x:xf>
    <x:xf numFmtId="0" fontId="7" fillId="6" borderId="0" xfId="0" applyNumberFormat="1" applyFont="1" applyFill="1" applyBorder="1" applyAlignment="1">
      <x:alignment horizontal="left" vertical="top" wrapText="1"/>
    </x:xf>
    <x:xf numFmtId="0" fontId="4" fillId="6" borderId="0" xfId="0" applyNumberFormat="1" applyFont="1" applyFill="1" applyBorder="1" applyAlignment="1">
      <x:alignment horizontal="right" vertical="top" wrapText="1"/>
    </x:xf>
    <x:xf numFmtId="203" fontId="4" fillId="6" borderId="0" xfId="0" applyNumberFormat="1" applyFont="1" applyFill="1" applyBorder="1" applyAlignment="1">
      <x:alignment horizontal="right" vertical="top" wrapText="1"/>
    </x:xf>
    <x:xf numFmtId="203" fontId="8" fillId="6" borderId="0" xfId="0" applyNumberFormat="1" applyFont="1" applyFill="1" applyBorder="1" applyAlignment="1">
      <x:alignment horizontal="right" vertical="top" wrapText="1"/>
    </x:xf>
    <x:xf numFmtId="203" fontId="9" fillId="0" borderId="0" xfId="0" applyNumberFormat="1" applyFont="1" applyFill="1" applyBorder="1" applyAlignment="1">
      <x:alignment horizontal="right" vertical="top" wrapText="1"/>
    </x:xf>
    <x:xf numFmtId="0" fontId="8" fillId="7" borderId="0" xfId="0" applyNumberFormat="1" applyFont="1" applyFill="1" applyBorder="1" applyAlignment="1">
      <x:alignment vertical="top" wrapText="1"/>
    </x:xf>
    <x:xf numFmtId="0" fontId="4" fillId="7" borderId="0" xfId="0" applyNumberFormat="1" applyFont="1" applyFill="1" applyBorder="1" applyAlignment="1">
      <x:alignment horizontal="right" vertical="top" wrapText="1"/>
    </x:xf>
    <x:xf numFmtId="203" fontId="4" fillId="7" borderId="0" xfId="0" applyNumberFormat="1" applyFont="1" applyFill="1" applyBorder="1" applyAlignment="1">
      <x:alignment horizontal="right" vertical="top" wrapText="1"/>
    </x:xf>
    <x:xf numFmtId="203" fontId="8" fillId="7" borderId="0" xfId="0" applyNumberFormat="1" applyFont="1" applyFill="1" applyBorder="1" applyAlignment="1">
      <x:alignment horizontal="right" vertical="top" wrapText="1"/>
    </x:xf>
    <x:xf numFmtId="203" fontId="5" fillId="4" borderId="0" xfId="0" applyNumberFormat="1" applyFont="1" applyFill="1" applyBorder="1" applyAlignment="1">
      <x:alignment horizontal="right" vertical="top" wrapText="1"/>
    </x:xf>
    <x:xf numFmtId="203" fontId="9" fillId="4" borderId="0" xfId="0" applyNumberFormat="1" applyFont="1" applyFill="1" applyBorder="1" applyAlignment="1">
      <x:alignment horizontal="right" vertical="top" wrapText="1"/>
    </x:xf>
    <x:xf numFmtId="0" fontId="8" fillId="8" borderId="0" xfId="0" applyNumberFormat="1" applyFont="1" applyFill="1" applyBorder="1" applyAlignment="1">
      <x:alignment vertical="top" wrapText="1"/>
    </x:xf>
    <x:xf numFmtId="0" fontId="4" fillId="8" borderId="0" xfId="0" applyNumberFormat="1" applyFont="1" applyFill="1" applyBorder="1" applyAlignment="1">
      <x:alignment horizontal="right" vertical="top" wrapText="1"/>
    </x:xf>
    <x:xf numFmtId="203" fontId="4" fillId="8" borderId="0" xfId="0" applyNumberFormat="1" applyFont="1" applyFill="1" applyBorder="1" applyAlignment="1">
      <x:alignment horizontal="right" vertical="top" wrapText="1"/>
    </x:xf>
    <x:xf numFmtId="203" fontId="8" fillId="8" borderId="0" xfId="0" applyNumberFormat="1" applyFont="1" applyFill="1" applyBorder="1" applyAlignment="1">
      <x:alignment horizontal="right" vertical="top" wrapText="1"/>
    </x:xf>
    <x:xf numFmtId="0" fontId="8" fillId="9" borderId="0" xfId="0" applyNumberFormat="1" applyFont="1" applyFill="1" applyBorder="1" applyAlignment="1">
      <x:alignment vertical="top" wrapText="1"/>
    </x:xf>
    <x:xf numFmtId="0" fontId="4" fillId="9" borderId="0" xfId="0" applyNumberFormat="1" applyFont="1" applyFill="1" applyBorder="1" applyAlignment="1">
      <x:alignment horizontal="right" vertical="top" wrapText="1"/>
    </x:xf>
    <x:xf numFmtId="203" fontId="4" fillId="9" borderId="0" xfId="0" applyNumberFormat="1" applyFont="1" applyFill="1" applyBorder="1" applyAlignment="1">
      <x:alignment horizontal="right" vertical="top" wrapText="1"/>
    </x:xf>
    <x:xf numFmtId="203" fontId="8" fillId="9" borderId="0" xfId="0" applyNumberFormat="1" applyFont="1" applyFill="1" applyBorder="1" applyAlignment="1">
      <x:alignment horizontal="right" vertical="top" wrapText="1"/>
    </x:xf>
    <x:xf numFmtId="0" fontId="7" fillId="6" borderId="1" xfId="0" applyNumberFormat="1" applyFont="1" applyFill="1" applyBorder="1" applyAlignment="1">
      <x:alignment horizontal="left" vertical="top" wrapText="1"/>
    </x:xf>
    <x:xf numFmtId="0" fontId="4" fillId="6" borderId="1" xfId="0" applyNumberFormat="1" applyFont="1" applyFill="1" applyBorder="1" applyAlignment="1">
      <x:alignment horizontal="right" vertical="top" wrapText="1"/>
    </x:xf>
    <x:xf numFmtId="203" fontId="4" fillId="6" borderId="1" xfId="0" applyNumberFormat="1" applyFont="1" applyFill="1" applyBorder="1" applyAlignment="1">
      <x:alignment horizontal="right" vertical="top" wrapText="1"/>
    </x:xf>
    <x:xf numFmtId="203" fontId="8" fillId="6" borderId="1" xfId="0" applyNumberFormat="1" applyFont="1" applyFill="1" applyBorder="1" applyAlignment="1">
      <x:alignment horizontal="right" vertical="top" wrapText="1"/>
    </x:xf>
    <x:xf numFmtId="203" fontId="9" fillId="0" borderId="1" xfId="0" applyNumberFormat="1" applyFont="1" applyFill="1" applyBorder="1" applyAlignment="1">
      <x:alignment horizontal="right" vertical="top" wrapText="1"/>
    </x:xf>
    <x:xf numFmtId="0" fontId="8" fillId="7" borderId="1" xfId="0" applyNumberFormat="1" applyFont="1" applyFill="1" applyBorder="1" applyAlignment="1">
      <x:alignment vertical="top" wrapText="1"/>
    </x:xf>
    <x:xf numFmtId="0" fontId="4" fillId="7" borderId="1" xfId="0" applyNumberFormat="1" applyFont="1" applyFill="1" applyBorder="1" applyAlignment="1">
      <x:alignment horizontal="right" vertical="top" wrapText="1"/>
    </x:xf>
    <x:xf numFmtId="203" fontId="4" fillId="7" borderId="1" xfId="0" applyNumberFormat="1" applyFont="1" applyFill="1" applyBorder="1" applyAlignment="1">
      <x:alignment horizontal="right" vertical="top" wrapText="1"/>
    </x:xf>
    <x:xf numFmtId="203" fontId="8" fillId="7" borderId="1" xfId="0" applyNumberFormat="1" applyFont="1" applyFill="1" applyBorder="1" applyAlignment="1">
      <x:alignment horizontal="right" vertical="top" wrapText="1"/>
    </x:xf>
    <x:xf numFmtId="203" fontId="5" fillId="4" borderId="1" xfId="0" applyNumberFormat="1" applyFont="1" applyFill="1" applyBorder="1" applyAlignment="1">
      <x:alignment horizontal="right" vertical="top" wrapText="1"/>
    </x:xf>
    <x:xf numFmtId="203" fontId="9" fillId="4" borderId="1" xfId="0" applyNumberFormat="1" applyFont="1" applyFill="1" applyBorder="1" applyAlignment="1">
      <x:alignment horizontal="right" vertical="top" wrapText="1"/>
    </x:xf>
    <x:xf numFmtId="0" fontId="8" fillId="8" borderId="1" xfId="0" applyNumberFormat="1" applyFont="1" applyFill="1" applyBorder="1" applyAlignment="1">
      <x:alignment vertical="top" wrapText="1"/>
    </x:xf>
    <x:xf numFmtId="0" fontId="4" fillId="8" borderId="1" xfId="0" applyNumberFormat="1" applyFont="1" applyFill="1" applyBorder="1" applyAlignment="1">
      <x:alignment horizontal="right" vertical="top" wrapText="1"/>
    </x:xf>
    <x:xf numFmtId="203" fontId="4" fillId="8" borderId="1" xfId="0" applyNumberFormat="1" applyFont="1" applyFill="1" applyBorder="1" applyAlignment="1">
      <x:alignment horizontal="right" vertical="top" wrapText="1"/>
    </x:xf>
    <x:xf numFmtId="203" fontId="8" fillId="8" borderId="1" xfId="0" applyNumberFormat="1" applyFont="1" applyFill="1" applyBorder="1" applyAlignment="1">
      <x:alignment horizontal="right" vertical="top" wrapText="1"/>
    </x:xf>
    <x:xf numFmtId="0" fontId="8" fillId="9" borderId="1" xfId="0" applyNumberFormat="1" applyFont="1" applyFill="1" applyBorder="1" applyAlignment="1">
      <x:alignment vertical="top" wrapText="1"/>
    </x:xf>
    <x:xf numFmtId="0" fontId="4" fillId="9" borderId="1" xfId="0" applyNumberFormat="1" applyFont="1" applyFill="1" applyBorder="1" applyAlignment="1">
      <x:alignment horizontal="right" vertical="top" wrapText="1"/>
    </x:xf>
    <x:xf numFmtId="203" fontId="4" fillId="9" borderId="1" xfId="0" applyNumberFormat="1" applyFont="1" applyFill="1" applyBorder="1" applyAlignment="1">
      <x:alignment horizontal="right" vertical="top" wrapText="1"/>
    </x:xf>
    <x:xf numFmtId="203" fontId="8" fillId="9" borderId="1" xfId="0" applyNumberFormat="1" applyFont="1" applyFill="1" applyBorder="1" applyAlignment="1">
      <x:alignment horizontal="right" vertical="top" wrapText="1"/>
    </x:xf>
    <x:xf numFmtId="0" fontId="6" fillId="7" borderId="0" xfId="0" applyNumberFormat="1" applyFont="1" applyFill="1" applyBorder="1" applyAlignment="1">
      <x:alignment vertical="top" wrapText="1"/>
    </x:xf>
    <x:xf numFmtId="0" fontId="10" fillId="0" borderId="0" xfId="0" applyNumberFormat="1" applyFont="1" applyFill="1" applyBorder="1" applyAlignment="1">
      <x:alignment vertical="top" wrapText="1"/>
    </x:xf>
    <x:xf numFmtId="0" fontId="10" fillId="5" borderId="0" xfId="0" applyNumberFormat="1" applyFont="1" applyFill="1" applyBorder="1" applyAlignment="1">
      <x:alignment vertical="top" wrapText="1"/>
    </x:xf>
    <x:xf numFmtId="203" fontId="11" fillId="5" borderId="0" xfId="0" applyNumberFormat="1" applyFont="1" applyFill="1" applyBorder="1" applyAlignment="1">
      <x:alignment vertical="top" wrapText="1"/>
    </x:xf>
    <x:xf numFmtId="0" fontId="4" fillId="6" borderId="0" xfId="0" applyNumberFormat="1" applyFont="1" applyFill="1" applyBorder="1" applyAlignment="1">
      <x:alignment horizontal="left" vertical="top" wrapText="1"/>
    </x:xf>
    <x:xf numFmtId="203" fontId="4" fillId="6" borderId="0" xfId="0" applyNumberFormat="1" applyFont="1" applyFill="1" applyBorder="1" applyAlignment="1">
      <x:alignment horizontal="left" vertical="top" wrapText="1"/>
    </x:xf>
    <x:xf numFmtId="202" fontId="4" fillId="6" borderId="0" xfId="0" applyNumberFormat="1" applyFont="1" applyFill="1" applyBorder="1" applyAlignment="1">
      <x:alignment horizontal="left" vertical="top" wrapText="1"/>
    </x:xf>
    <x:xf numFmtId="203" fontId="8" fillId="6" borderId="0" xfId="0" applyNumberFormat="1" applyFont="1" applyFill="1" applyBorder="1" applyAlignment="1">
      <x:alignment horizontal="left" vertical="top" wrapText="1"/>
    </x:xf>
    <x:xf numFmtId="203" fontId="5" fillId="4" borderId="0" xfId="0" applyNumberFormat="1" applyFont="1" applyFill="1" applyBorder="1" applyAlignment="1">
      <x:alignment vertical="top" wrapText="1"/>
    </x:xf>
    <x:xf numFmtId="202" fontId="5" fillId="4" borderId="0" xfId="0" applyNumberFormat="1" applyFont="1" applyFill="1" applyBorder="1" applyAlignment="1">
      <x:alignment vertical="top" wrapText="1"/>
    </x:xf>
    <x:xf numFmtId="203" fontId="9" fillId="4" borderId="0" xfId="0" applyNumberFormat="1" applyFont="1" applyFill="1" applyBorder="1" applyAlignment="1">
      <x:alignment vertical="top" wrapText="1"/>
    </x:xf>
    <x:xf numFmtId="0" fontId="4" fillId="7" borderId="0" xfId="0" applyNumberFormat="1" applyFont="1" applyFill="1" applyBorder="1" applyAlignment="1">
      <x:alignment vertical="top" wrapText="1"/>
    </x:xf>
    <x:xf numFmtId="203" fontId="4" fillId="7" borderId="0" xfId="0" applyNumberFormat="1" applyFont="1" applyFill="1" applyBorder="1" applyAlignment="1">
      <x:alignment vertical="top" wrapText="1"/>
    </x:xf>
    <x:xf numFmtId="202" fontId="4" fillId="7" borderId="0" xfId="0" applyNumberFormat="1" applyFont="1" applyFill="1" applyBorder="1" applyAlignment="1">
      <x:alignment vertical="top" wrapText="1"/>
    </x:xf>
    <x:xf numFmtId="203" fontId="8" fillId="7" borderId="0" xfId="0" applyNumberFormat="1" applyFont="1" applyFill="1" applyBorder="1" applyAlignment="1">
      <x:alignment vertical="top" wrapText="1"/>
    </x:xf>
    <x:xf numFmtId="203" fontId="5" fillId="0" borderId="0" xfId="0" applyNumberFormat="1" applyFont="1" applyFill="1" applyBorder="1" applyAlignment="1">
      <x:alignment vertical="top" wrapText="1"/>
    </x:xf>
    <x:xf numFmtId="202" fontId="5" fillId="0" borderId="0" xfId="0" applyNumberFormat="1" applyFont="1" applyFill="1" applyBorder="1" applyAlignment="1">
      <x:alignment vertical="top" wrapText="1"/>
    </x:xf>
    <x:xf numFmtId="203" fontId="9" fillId="0" borderId="0" xfId="0" applyNumberFormat="1" applyFont="1" applyFill="1" applyBorder="1" applyAlignment="1">
      <x:alignment vertical="top" wrapText="1"/>
    </x:xf>
    <x:xf numFmtId="0" fontId="4" fillId="8" borderId="0" xfId="0" applyNumberFormat="1" applyFont="1" applyFill="1" applyBorder="1" applyAlignment="1">
      <x:alignment vertical="top" wrapText="1"/>
    </x:xf>
    <x:xf numFmtId="203" fontId="4" fillId="8" borderId="0" xfId="0" applyNumberFormat="1" applyFont="1" applyFill="1" applyBorder="1" applyAlignment="1">
      <x:alignment vertical="top" wrapText="1"/>
    </x:xf>
    <x:xf numFmtId="202" fontId="4" fillId="8" borderId="0" xfId="0" applyNumberFormat="1" applyFont="1" applyFill="1" applyBorder="1" applyAlignment="1">
      <x:alignment vertical="top" wrapText="1"/>
    </x:xf>
    <x:xf numFmtId="203" fontId="8" fillId="8" borderId="0" xfId="0" applyNumberFormat="1" applyFont="1" applyFill="1" applyBorder="1" applyAlignment="1">
      <x:alignment vertical="top" wrapText="1"/>
    </x:xf>
    <x:xf numFmtId="0" fontId="4" fillId="9" borderId="0" xfId="0" applyNumberFormat="1" applyFont="1" applyFill="1" applyBorder="1" applyAlignment="1">
      <x:alignment vertical="top" wrapText="1"/>
    </x:xf>
    <x:xf numFmtId="203" fontId="4" fillId="9" borderId="0" xfId="0" applyNumberFormat="1" applyFont="1" applyFill="1" applyBorder="1" applyAlignment="1">
      <x:alignment vertical="top" wrapText="1"/>
    </x:xf>
    <x:xf numFmtId="202" fontId="4" fillId="9" borderId="0" xfId="0" applyNumberFormat="1" applyFont="1" applyFill="1" applyBorder="1" applyAlignment="1">
      <x:alignment vertical="top" wrapText="1"/>
    </x:xf>
    <x:xf numFmtId="203" fontId="8" fillId="9" borderId="0" xfId="0" applyNumberFormat="1" applyFont="1" applyFill="1" applyBorder="1" applyAlignment="1">
      <x:alignment vertical="top" wrapText="1"/>
    </x:xf>
    <x:xf numFmtId="0" fontId="6" fillId="7" borderId="1" xfId="0" applyNumberFormat="1" applyFont="1" applyFill="1" applyBorder="1" applyAlignment="1">
      <x:alignment vertical="top" wrapText="1"/>
    </x:xf>
    <x:xf numFmtId="0" fontId="10" fillId="0" borderId="1" xfId="0" applyNumberFormat="1" applyFont="1" applyFill="1" applyBorder="1" applyAlignment="1">
      <x:alignment vertical="top" wrapText="1"/>
    </x:xf>
    <x:xf numFmtId="0" fontId="10" fillId="5" borderId="1" xfId="0" applyNumberFormat="1" applyFont="1" applyFill="1" applyBorder="1" applyAlignment="1">
      <x:alignment vertical="top" wrapText="1"/>
    </x:xf>
    <x:xf numFmtId="203" fontId="11" fillId="5" borderId="1" xfId="0" applyNumberFormat="1" applyFont="1" applyFill="1" applyBorder="1" applyAlignment="1">
      <x:alignment vertical="top" wrapText="1"/>
    </x:xf>
    <x:xf numFmtId="0" fontId="4" fillId="6" borderId="1" xfId="0" applyNumberFormat="1" applyFont="1" applyFill="1" applyBorder="1" applyAlignment="1">
      <x:alignment horizontal="left" vertical="top" wrapText="1"/>
    </x:xf>
    <x:xf numFmtId="203" fontId="4" fillId="6" borderId="1" xfId="0" applyNumberFormat="1" applyFont="1" applyFill="1" applyBorder="1" applyAlignment="1">
      <x:alignment horizontal="left" vertical="top" wrapText="1"/>
    </x:xf>
    <x:xf numFmtId="202" fontId="4" fillId="6" borderId="1" xfId="0" applyNumberFormat="1" applyFont="1" applyFill="1" applyBorder="1" applyAlignment="1">
      <x:alignment horizontal="left" vertical="top" wrapText="1"/>
    </x:xf>
    <x:xf numFmtId="203" fontId="8" fillId="6" borderId="1" xfId="0" applyNumberFormat="1" applyFont="1" applyFill="1" applyBorder="1" applyAlignment="1">
      <x:alignment horizontal="left" vertical="top" wrapText="1"/>
    </x:xf>
    <x:xf numFmtId="203" fontId="5" fillId="4" borderId="1" xfId="0" applyNumberFormat="1" applyFont="1" applyFill="1" applyBorder="1" applyAlignment="1">
      <x:alignment vertical="top" wrapText="1"/>
    </x:xf>
    <x:xf numFmtId="202" fontId="5" fillId="4" borderId="1" xfId="0" applyNumberFormat="1" applyFont="1" applyFill="1" applyBorder="1" applyAlignment="1">
      <x:alignment vertical="top" wrapText="1"/>
    </x:xf>
    <x:xf numFmtId="203" fontId="9" fillId="4" borderId="1" xfId="0" applyNumberFormat="1" applyFont="1" applyFill="1" applyBorder="1" applyAlignment="1">
      <x:alignment vertical="top" wrapText="1"/>
    </x:xf>
    <x:xf numFmtId="0" fontId="4" fillId="7" borderId="1" xfId="0" applyNumberFormat="1" applyFont="1" applyFill="1" applyBorder="1" applyAlignment="1">
      <x:alignment vertical="top" wrapText="1"/>
    </x:xf>
    <x:xf numFmtId="203" fontId="4" fillId="7" borderId="1" xfId="0" applyNumberFormat="1" applyFont="1" applyFill="1" applyBorder="1" applyAlignment="1">
      <x:alignment vertical="top" wrapText="1"/>
    </x:xf>
    <x:xf numFmtId="202" fontId="4" fillId="7" borderId="1" xfId="0" applyNumberFormat="1" applyFont="1" applyFill="1" applyBorder="1" applyAlignment="1">
      <x:alignment vertical="top" wrapText="1"/>
    </x:xf>
    <x:xf numFmtId="203" fontId="8" fillId="7" borderId="1" xfId="0" applyNumberFormat="1" applyFont="1" applyFill="1" applyBorder="1" applyAlignment="1">
      <x:alignment vertical="top" wrapText="1"/>
    </x:xf>
    <x:xf numFmtId="203" fontId="5" fillId="0" borderId="1" xfId="0" applyNumberFormat="1" applyFont="1" applyFill="1" applyBorder="1" applyAlignment="1">
      <x:alignment vertical="top" wrapText="1"/>
    </x:xf>
    <x:xf numFmtId="202" fontId="5" fillId="0" borderId="1" xfId="0" applyNumberFormat="1" applyFont="1" applyFill="1" applyBorder="1" applyAlignment="1">
      <x:alignment vertical="top" wrapText="1"/>
    </x:xf>
    <x:xf numFmtId="203" fontId="9" fillId="0" borderId="1" xfId="0" applyNumberFormat="1" applyFont="1" applyFill="1" applyBorder="1" applyAlignment="1">
      <x:alignment vertical="top" wrapText="1"/>
    </x:xf>
    <x:xf numFmtId="0" fontId="4" fillId="8" borderId="1" xfId="0" applyNumberFormat="1" applyFont="1" applyFill="1" applyBorder="1" applyAlignment="1">
      <x:alignment vertical="top" wrapText="1"/>
    </x:xf>
    <x:xf numFmtId="203" fontId="4" fillId="8" borderId="1" xfId="0" applyNumberFormat="1" applyFont="1" applyFill="1" applyBorder="1" applyAlignment="1">
      <x:alignment vertical="top" wrapText="1"/>
    </x:xf>
    <x:xf numFmtId="202" fontId="4" fillId="8" borderId="1" xfId="0" applyNumberFormat="1" applyFont="1" applyFill="1" applyBorder="1" applyAlignment="1">
      <x:alignment vertical="top" wrapText="1"/>
    </x:xf>
    <x:xf numFmtId="203" fontId="8" fillId="8" borderId="1" xfId="0" applyNumberFormat="1" applyFont="1" applyFill="1" applyBorder="1" applyAlignment="1">
      <x:alignment vertical="top" wrapText="1"/>
    </x:xf>
    <x:xf numFmtId="0" fontId="4" fillId="9" borderId="1" xfId="0" applyNumberFormat="1" applyFont="1" applyFill="1" applyBorder="1" applyAlignment="1">
      <x:alignment vertical="top" wrapText="1"/>
    </x:xf>
    <x:xf numFmtId="203" fontId="4" fillId="9" borderId="1" xfId="0" applyNumberFormat="1" applyFont="1" applyFill="1" applyBorder="1" applyAlignment="1">
      <x:alignment vertical="top" wrapText="1"/>
    </x:xf>
    <x:xf numFmtId="202" fontId="4" fillId="9" borderId="1" xfId="0" applyNumberFormat="1" applyFont="1" applyFill="1" applyBorder="1" applyAlignment="1">
      <x:alignment vertical="top" wrapText="1"/>
    </x:xf>
    <x:xf numFmtId="203" fontId="8" fillId="9" borderId="1" xfId="0" applyNumberFormat="1" applyFont="1" applyFill="1" applyBorder="1" applyAlignment="1">
      <x:alignment vertical="top" wrapText="1"/>
    </x:xf>
    <x:xf numFmtId="0" fontId="10" fillId="0" borderId="0" xfId="0" applyNumberFormat="1" applyFont="1" applyFill="1" applyBorder="1" applyAlignment="1">
      <x:alignment vertical="top"/>
    </x:xf>
    <x:xf numFmtId="203" fontId="11" fillId="0" borderId="0" xfId="0" applyNumberFormat="1" applyFont="1" applyFill="1" applyBorder="1" applyAlignment="1">
      <x:alignment vertical="top"/>
    </x:xf>
    <x:xf numFmtId="0" fontId="10" fillId="5" borderId="0" xfId="0" applyNumberFormat="1" applyFont="1" applyFill="1" applyBorder="1" applyAlignment="1">
      <x:alignment vertical="top"/>
    </x:xf>
    <x:xf numFmtId="203" fontId="11" fillId="5" borderId="0" xfId="0" applyNumberFormat="1" applyFont="1" applyFill="1" applyBorder="1" applyAlignment="1">
      <x:alignment vertical="top"/>
    </x:xf>
    <x:xf numFmtId="0" fontId="12" fillId="10" borderId="0" xfId="0" applyNumberFormat="1" applyFont="1" applyFill="1" applyBorder="1" applyAlignment="1">
      <x:alignment vertical="top" wrapText="1"/>
    </x:xf>
    <x:xf numFmtId="0" fontId="10" fillId="0" borderId="1" xfId="0" applyNumberFormat="1" applyFont="1" applyFill="1" applyBorder="1" applyAlignment="1">
      <x:alignment vertical="top"/>
    </x:xf>
    <x:xf numFmtId="203" fontId="11" fillId="0" borderId="1" xfId="0" applyNumberFormat="1" applyFont="1" applyFill="1" applyBorder="1" applyAlignment="1">
      <x:alignment vertical="top"/>
    </x:xf>
    <x:xf numFmtId="0" fontId="10" fillId="5" borderId="1" xfId="0" applyNumberFormat="1" applyFont="1" applyFill="1" applyBorder="1" applyAlignment="1">
      <x:alignment vertical="top"/>
    </x:xf>
    <x:xf numFmtId="203" fontId="11" fillId="5" borderId="1" xfId="0" applyNumberFormat="1" applyFont="1" applyFill="1" applyBorder="1" applyAlignment="1">
      <x:alignment vertical="top"/>
    </x:xf>
    <x:xf numFmtId="0" fontId="12" fillId="10" borderId="1" xfId="0" applyNumberFormat="1" applyFont="1" applyFill="1" applyBorder="1" applyAlignment="1">
      <x:alignment vertical="top" wrapText="1"/>
    </x:xf>
    <x:xf numFmtId="203" fontId="14" fillId="6" borderId="0" xfId="0" applyNumberFormat="1" applyFont="1" applyFill="1" applyBorder="1" applyAlignment="1">
      <x:alignment horizontal="left" vertical="top" wrapText="1"/>
    </x:xf>
    <x:xf numFmtId="204" fontId="11" fillId="0" borderId="0" xfId="0" applyNumberFormat="1" applyFont="1" applyFill="1" applyBorder="1" applyAlignment="1">
      <x:alignment vertical="top" wrapText="1"/>
    </x:xf>
    <x:xf numFmtId="0" fontId="11" fillId="0" borderId="0" xfId="0" applyNumberFormat="1" applyFont="1" applyFill="1" applyBorder="1" applyAlignment="1">
      <x:alignment vertical="top" wrapText="1"/>
    </x:xf>
    <x:xf numFmtId="0" fontId="14" fillId="6" borderId="0" xfId="0" applyNumberFormat="1" applyFont="1" applyFill="1" applyBorder="1" applyAlignment="1">
      <x:alignment horizontal="left" vertical="top" wrapText="1"/>
    </x:xf>
    <x:xf numFmtId="203" fontId="14" fillId="6" borderId="1" xfId="0" applyNumberFormat="1" applyFont="1" applyFill="1" applyBorder="1" applyAlignment="1">
      <x:alignment horizontal="left" vertical="top" wrapText="1"/>
    </x:xf>
    <x:xf numFmtId="204" fontId="11" fillId="0" borderId="1" xfId="0" applyNumberFormat="1" applyFont="1" applyFill="1" applyBorder="1" applyAlignment="1">
      <x:alignment vertical="top" wrapText="1"/>
    </x:xf>
    <x:xf numFmtId="0" fontId="11" fillId="0" borderId="1" xfId="0" applyNumberFormat="1" applyFont="1" applyFill="1" applyBorder="1" applyAlignment="1">
      <x:alignment vertical="top" wrapText="1"/>
    </x:xf>
    <x:xf numFmtId="0" fontId="14" fillId="6" borderId="1" xfId="0" applyNumberFormat="1" applyFont="1" applyFill="1" applyBorder="1" applyAlignment="1">
      <x:alignment horizontal="left" vertical="top" wrapText="1"/>
    </x:xf>
    <x:xf numFmtId="206" fontId="5" fillId="4" borderId="0" xfId="0" applyNumberFormat="1" applyFont="1" applyFill="1" applyBorder="1" applyAlignment="1">
      <x:alignment horizontal="right" vertical="top" wrapText="1"/>
    </x:xf>
    <x:xf numFmtId="206" fontId="5" fillId="4" borderId="1" xfId="0" applyNumberFormat="1" applyFont="1" applyFill="1" applyBorder="1" applyAlignment="1">
      <x:alignment horizontal="right" vertical="top" wrapText="1"/>
    </x:xf>
    <x:xf numFmtId="207" fontId="11" fillId="0" borderId="0" xfId="0" applyNumberFormat="1" applyFont="1" applyFill="1" applyBorder="1" applyAlignment="1">
      <x:alignment vertical="top" wrapText="1"/>
    </x:xf>
    <x:xf numFmtId="207" fontId="11" fillId="0" borderId="1" xfId="0" applyNumberFormat="1" applyFont="1" applyFill="1" applyBorder="1" applyAlignment="1">
      <x:alignment vertical="top" wrapText="1"/>
    </x:xf>
    <x:xf numFmtId="207" fontId="13" fillId="11" borderId="0" xfId="0" applyNumberFormat="1" applyFont="1" applyFill="1" applyBorder="1" applyAlignment="1">
      <x:alignment vertical="top" wrapText="1"/>
    </x:xf>
    <x:xf numFmtId="207" fontId="13" fillId="11" borderId="1" xfId="0" applyNumberFormat="1" applyFont="1" applyFill="1" applyBorder="1" applyAlignment="1">
      <x:alignment vertical="top" wrapText="1"/>
    </x:xf>
    <x:xf numFmtId="0" fontId="6" fillId="5" borderId="0" xfId="0" applyNumberFormat="1" applyFont="1" applyFill="1" applyBorder="1" applyAlignment="1">
      <x:alignment vertical="center" wrapText="1"/>
    </x:xf>
    <x:xf numFmtId="0" fontId="6" fillId="5" borderId="1" xfId="0" applyNumberFormat="1" applyFont="1" applyFill="1" applyBorder="1" applyAlignment="1">
      <x:alignment vertical="center" wrapText="1"/>
    </x:xf>
    <x:xf numFmtId="0" fontId="0" fillId="0" borderId="0" xfId="0" applyNumberFormat="1" applyFont="1" applyFill="1" applyBorder="1" applyAlignment="1">
      <x:alignment vertical="center" wrapText="1"/>
    </x:xf>
    <x:xf numFmtId="0" fontId="0" fillId="0" borderId="1" xfId="0" applyNumberFormat="1" applyFont="1" applyFill="1" applyBorder="1" applyAlignment="1">
      <x:alignment vertical="center" wrapText="1"/>
    </x:xf>
    <x:xf numFmtId="0" fontId="13" fillId="4" borderId="0" xfId="0" applyNumberFormat="1" applyFont="1" applyFill="1" applyBorder="1" applyAlignment="1">
      <x:alignment vertical="center" wrapText="1"/>
    </x:xf>
    <x:xf numFmtId="0" fontId="13" fillId="4" borderId="1" xfId="0" applyNumberFormat="1" applyFont="1" applyFill="1" applyBorder="1" applyAlignment="1">
      <x:alignment vertical="center" wrapText="1"/>
    </x:xf>
    <x:xf numFmtId="205" fontId="0" fillId="0" borderId="0" xfId="0" applyNumberFormat="1" applyFont="1" applyFill="1" applyBorder="1" applyAlignment="1">
      <x:alignment vertical="top"/>
    </x:xf>
    <x:xf numFmtId="205" fontId="0" fillId="0" borderId="1" xfId="0" applyNumberFormat="1" applyFont="1" applyFill="1" applyBorder="1" applyAlignment="1">
      <x:alignment vertical="top"/>
    </x:xf>
    <x:xf numFmtId="0" fontId="0" fillId="0" borderId="0" xfId="0" applyNumberFormat="1" applyFont="1" applyFill="1" applyBorder="1"/>
    <x:xf numFmtId="208" fontId="5" fillId="0" borderId="0" xfId="0" applyNumberFormat="1" applyFont="1" applyFill="1" applyBorder="1" applyAlignment="1">
      <x:alignment horizontal="right" vertical="top" wrapText="1"/>
    </x:xf>
    <x:xf numFmtId="209" fontId="5" fillId="0" borderId="0" xfId="0" applyNumberFormat="1" applyFont="1" applyFill="1" applyBorder="1" applyAlignment="1">
      <x:alignment horizontal="right" vertical="top" wrapText="1"/>
    </x:xf>
    <x:xf numFmtId="208" fontId="5" fillId="13" borderId="0" xfId="0" applyNumberFormat="1" applyFont="1" applyFill="1" applyBorder="1" applyAlignment="1">
      <x:alignment horizontal="right" vertical="top" wrapText="1"/>
    </x:xf>
    <x:xf numFmtId="203" fontId="5" fillId="13" borderId="0" xfId="0" applyNumberFormat="1" applyFont="1" applyFill="1" applyBorder="1" applyAlignment="1">
      <x:alignment horizontal="right" vertical="top" wrapText="1"/>
    </x:xf>
    <x:xf numFmtId="209" fontId="5" fillId="13" borderId="0" xfId="0" applyNumberFormat="1" applyFont="1" applyFill="1" applyBorder="1" applyAlignment="1">
      <x:alignment horizontal="right" vertical="top" wrapText="1"/>
    </x:xf>
    <x:xf numFmtId="0" fontId="0" fillId="14" borderId="0" xfId="0" applyNumberFormat="1" applyFont="1" applyFill="1" applyBorder="1" applyAlignment="1">
      <x:alignment vertical="top" wrapText="1"/>
    </x:xf>
    <x:xf numFmtId="208" fontId="5" fillId="14" borderId="0" xfId="0" applyNumberFormat="1" applyFont="1" applyFill="1" applyBorder="1" applyAlignment="1">
      <x:alignment horizontal="right" vertical="top" wrapText="1"/>
    </x:xf>
    <x:xf numFmtId="0" fontId="6" fillId="14" borderId="0" xfId="0" applyNumberFormat="1" applyFont="1" applyFill="1" applyBorder="1" applyAlignment="1">
      <x:alignment vertical="top" wrapText="1"/>
    </x:xf>
    <x:xf numFmtId="203" fontId="5" fillId="14" borderId="0" xfId="0" applyNumberFormat="1" applyFont="1" applyFill="1" applyBorder="1" applyAlignment="1">
      <x:alignment horizontal="right" vertical="top" wrapText="1"/>
    </x:xf>
    <x:xf numFmtId="0" fontId="4" fillId="13" borderId="0" xfId="0" applyNumberFormat="1" applyFont="1" applyFill="1" applyBorder="1" applyAlignment="1">
      <x:alignment vertical="top" wrapText="1"/>
    </x:xf>
    <x:xf numFmtId="0" fontId="0" fillId="13" borderId="0" xfId="0" applyNumberFormat="1" applyFont="1" applyFill="1" applyBorder="1" applyAlignment="1">
      <x:alignment vertical="top" wrapText="1"/>
    </x:xf>
    <x:xf numFmtId="0" fontId="5" fillId="13" borderId="0" xfId="0" applyNumberFormat="1" applyFont="1" applyFill="1" applyBorder="1" applyAlignment="1">
      <x:alignment vertical="top" wrapText="1"/>
    </x:xf>
    <x:xf numFmtId="0" fontId="0" fillId="15" borderId="0" xfId="0" applyNumberFormat="1" applyFont="1" applyFill="1" applyBorder="1" applyAlignment="1">
      <x:alignment vertical="top"/>
    </x:xf>
    <x:xf numFmtId="0" fontId="7" fillId="15" borderId="0" xfId="0" applyNumberFormat="1" applyFont="1" applyFill="1" applyBorder="1" applyAlignment="1">
      <x:alignment vertical="top"/>
    </x:xf>
    <x:xf numFmtId="0" fontId="7" fillId="15" borderId="0" xfId="0" applyNumberFormat="1" applyFont="1" applyFill="1" applyBorder="1" applyAlignment="1">
      <x:alignment horizontal="left" vertical="top"/>
    </x:xf>
    <x:xf numFmtId="0" fontId="7" fillId="15" borderId="0" xfId="0" applyNumberFormat="1" applyFont="1" applyFill="1" applyBorder="1" applyAlignment="1">
      <x:alignment horizontal="left" vertical="center"/>
    </x:xf>
    <x:xf numFmtId="0" fontId="0" fillId="14" borderId="0" xfId="0" applyNumberFormat="1" applyFont="1" applyFill="1" applyBorder="1" applyAlignment="1">
      <x:alignment vertical="top"/>
    </x:xf>
    <x:xf numFmtId="0" fontId="6" fillId="14" borderId="0" xfId="0" applyNumberFormat="1" applyFont="1" applyFill="1" applyBorder="1" applyAlignment="1">
      <x:alignment vertical="top"/>
    </x:xf>
    <x:xf numFmtId="0" fontId="0" fillId="16" borderId="0" xfId="0" applyNumberFormat="1" applyFont="1" applyFill="1" applyBorder="1" applyAlignment="1">
      <x:alignment vertical="top" wrapText="1"/>
    </x:xf>
    <x:xf numFmtId="0" fontId="5" fillId="16" borderId="0" xfId="0" applyNumberFormat="1" applyFont="1" applyFill="1" applyBorder="1" applyAlignment="1">
      <x:alignment vertical="top" wrapText="1"/>
    </x:xf>
    <x:xf numFmtId="203" fontId="5" fillId="16" borderId="0" xfId="0" applyNumberFormat="1" applyFont="1" applyFill="1" applyBorder="1" applyAlignment="1">
      <x:alignment vertical="top" wrapText="1"/>
    </x:xf>
    <x:xf numFmtId="202" fontId="5" fillId="16" borderId="0" xfId="0" applyNumberFormat="1" applyFont="1" applyFill="1" applyBorder="1" applyAlignment="1">
      <x:alignment vertical="top" wrapText="1"/>
    </x:xf>
    <x:xf numFmtId="203" fontId="9" fillId="16" borderId="0" xfId="0" applyNumberFormat="1" applyFont="1" applyFill="1" applyBorder="1" applyAlignment="1">
      <x:alignment vertical="top" wrapText="1"/>
    </x:xf>
    <x:xf numFmtId="0" fontId="8" fillId="16" borderId="0" xfId="0" applyNumberFormat="1" applyFont="1" applyFill="1" applyBorder="1" applyAlignment="1">
      <x:alignment vertical="top" wrapText="1"/>
    </x:xf>
    <x:xf numFmtId="203" fontId="8" fillId="16" borderId="0" xfId="0" applyNumberFormat="1" applyFont="1" applyFill="1" applyBorder="1" applyAlignment="1">
      <x:alignment vertical="top" wrapText="1"/>
    </x:xf>
    <x:xf numFmtId="202" fontId="8" fillId="16" borderId="0" xfId="0" applyNumberFormat="1" applyFont="1" applyFill="1" applyBorder="1" applyAlignment="1">
      <x:alignment vertical="top" wrapText="1"/>
    </x:xf>
    <x:xf numFmtId="0" fontId="8" fillId="16" borderId="0" xfId="0" applyNumberFormat="1" applyFont="1" applyFill="1" applyBorder="1" applyAlignment="1">
      <x:alignment vertical="center" wrapText="1"/>
    </x:xf>
    <x:xf numFmtId="203" fontId="8" fillId="16" borderId="0" xfId="0" applyNumberFormat="1" applyFont="1" applyFill="1" applyBorder="1" applyAlignment="1">
      <x:alignment vertical="center" wrapText="1"/>
    </x:xf>
    <x:xf numFmtId="202" fontId="8" fillId="16" borderId="0" xfId="0" applyNumberFormat="1" applyFont="1" applyFill="1" applyBorder="1" applyAlignment="1">
      <x:alignment vertical="center" wrapText="1"/>
    </x:xf>
    <x:xf numFmtId="203" fontId="11" fillId="4" borderId="0" xfId="0" applyNumberFormat="1" applyFont="1" applyFill="1" applyBorder="1" applyAlignment="1">
      <x:alignment vertical="top" wrapText="1"/>
    </x:xf>
    <x:xf numFmtId="203" fontId="14" fillId="7" borderId="0" xfId="0" applyNumberFormat="1" applyFont="1" applyFill="1" applyBorder="1" applyAlignment="1">
      <x:alignment vertical="top" wrapText="1"/>
    </x:xf>
    <x:xf numFmtId="203" fontId="14" fillId="16" borderId="0" xfId="0" applyNumberFormat="1" applyFont="1" applyFill="1" applyBorder="1" applyAlignment="1">
      <x:alignment vertical="center" wrapText="1"/>
    </x:xf>
    <x:xf numFmtId="0" fontId="0" fillId="17" borderId="0" xfId="0" applyNumberFormat="1" applyFont="1" applyFill="1" applyBorder="1" applyAlignment="1">
      <x:alignment vertical="top"/>
    </x:xf>
    <x:xf numFmtId="0" fontId="3" fillId="17" borderId="0" xfId="0" applyNumberFormat="1" applyFont="1" applyFill="1" applyBorder="1" applyAlignment="1">
      <x:alignment vertical="top"/>
    </x:xf>
    <x:xf numFmtId="0" fontId="3" fillId="17" borderId="0" xfId="0" applyNumberFormat="1" applyFont="1" applyFill="1" applyBorder="1" applyAlignment="1">
      <x:alignment vertical="top" wrapText="1"/>
    </x:xf>
    <x:xf numFmtId="0" fontId="3" fillId="17" borderId="0" xfId="0" applyNumberFormat="1" applyFont="1" applyFill="1" applyBorder="1" applyAlignment="1">
      <x:alignment horizontal="center" vertical="top" wrapText="1"/>
    </x:xf>
    <x:xf numFmtId="0" fontId="3" fillId="17" borderId="0" xfId="0" applyNumberFormat="1" applyFont="1" applyFill="1" applyBorder="1" applyAlignment="1">
      <x:alignment horizontal="center" vertical="center" wrapText="1"/>
    </x:xf>
    <x:xf numFmtId="203" fontId="0" fillId="0" borderId="0" xfId="0" applyNumberFormat="1" applyFont="1" applyFill="1" applyBorder="1" applyAlignment="1">
      <x:alignment vertical="top"/>
    </x:xf>
    <x:xf numFmtId="203" fontId="0" fillId="0" borderId="0" xfId="0" applyNumberFormat="1" applyFont="1" applyFill="1" applyBorder="1" applyAlignment="1">
      <x:alignment vertical="top" wrapText="1"/>
    </x:xf>
    <x:xf numFmtId="0" fontId="0" fillId="17" borderId="0" xfId="0" applyNumberFormat="1" applyFont="1" applyFill="1" applyBorder="1"/>
    <x:xf numFmtId="0" fontId="1" fillId="17" borderId="0" xfId="0" applyNumberFormat="1" applyFont="1" applyFill="1" applyBorder="1"/>
    <x:xf numFmtId="0" fontId="1" fillId="17" borderId="0" xfId="0" applyNumberFormat="1" applyFont="1" applyFill="1" applyBorder="1" applyAlignment="1">
      <x:alignment horizontal="left"/>
    </x:xf>
    <x:xf numFmtId="0" fontId="1" fillId="17" borderId="0" xfId="0" applyNumberFormat="1" applyFont="1" applyFill="1" applyBorder="1" applyAlignment="1">
      <x:alignment horizontal="left" vertical="center"/>
    </x:xf>
    <x:xf numFmtId="0" fontId="0" fillId="18" borderId="0" xfId="0" applyNumberFormat="1" applyFont="1" applyFill="1" applyBorder="1"/>
    <x:xf numFmtId="0" fontId="2" fillId="18" borderId="0" xfId="0" applyNumberFormat="1" applyFont="1" applyFill="1" applyBorder="1"/>
    <x:xf numFmtId="0" fontId="2" fillId="18" borderId="0" xfId="0" applyNumberFormat="1" applyFont="1" applyFill="1" applyBorder="1" applyAlignment="1">
      <x:alignment wrapText="1"/>
    </x:xf>
    <x:xf numFmtId="0" fontId="2" fillId="18" borderId="0" xfId="0" applyNumberFormat="1" applyFont="1" applyFill="1" applyBorder="1" applyAlignment="1">
      <x:alignment vertical="center" wrapText="1"/>
    </x:xf>
    <x:xf numFmtId="0" fontId="3" fillId="17" borderId="0" xfId="0" applyNumberFormat="1" applyFont="1" applyFill="1" applyBorder="1"/>
    <x:xf numFmtId="0" fontId="3" fillId="17" borderId="0" xfId="0" applyNumberFormat="1" applyFont="1" applyFill="1" applyBorder="1" applyAlignment="1">
      <x:alignment wrapText="1"/>
    </x:xf>
    <x:xf numFmtId="0" fontId="3" fillId="17" borderId="0" xfId="0" applyNumberFormat="1" applyFont="1" applyFill="1" applyBorder="1" applyAlignment="1">
      <x:alignment horizontal="center" wrapText="1"/>
    </x:xf>
    <x:xf numFmtId="0" fontId="17" fillId="0" borderId="0" xfId="0" applyNumberFormat="1" applyFont="1" applyFill="1" applyBorder="1"/>
    <x:xf numFmtId="0" fontId="5" fillId="0" borderId="0" xfId="0" applyNumberFormat="1" applyFont="1" applyFill="1" applyBorder="1"/>
    <x:xf numFmtId="0" fontId="9" fillId="0" borderId="0" xfId="0" applyNumberFormat="1" applyFont="1" applyFill="1" applyBorder="1"/>
    <x:xf numFmtId="203" fontId="5" fillId="0" borderId="0" xfId="0" applyNumberFormat="1" applyFont="1" applyFill="1" applyBorder="1"/>
    <x:xf numFmtId="202" fontId="5" fillId="0" borderId="0" xfId="0" applyNumberFormat="1" applyFont="1" applyFill="1" applyBorder="1"/>
    <x:xf numFmtId="202" fontId="9" fillId="0" borderId="0" xfId="0" applyNumberFormat="1" applyFont="1" applyFill="1" applyBorder="1"/>
    <x:xf numFmtId="208" fontId="11" fillId="0" borderId="0" xfId="0" applyNumberFormat="1" applyFont="1" applyFill="1" applyBorder="1"/>
    <x:xf numFmtId="208" fontId="5" fillId="0" borderId="0" xfId="0" applyNumberFormat="1" applyFont="1" applyFill="1" applyBorder="1"/>
    <x:xf numFmtId="0" fontId="0" fillId="15" borderId="0" xfId="0" applyNumberFormat="1" applyFont="1" applyFill="1" applyBorder="1"/>
    <x:xf numFmtId="0" fontId="7" fillId="15" borderId="0" xfId="0" applyNumberFormat="1" applyFont="1" applyFill="1" applyBorder="1"/>
    <x:xf numFmtId="0" fontId="7" fillId="15" borderId="0" xfId="0" applyNumberFormat="1" applyFont="1" applyFill="1" applyBorder="1" applyAlignment="1">
      <x:alignment horizontal="left"/>
    </x:xf>
    <x:xf numFmtId="209" fontId="9" fillId="0" borderId="0" xfId="0" applyNumberFormat="1" applyFont="1" applyFill="1" applyBorder="1"/>
    <x:xf numFmtId="0" fontId="10" fillId="19" borderId="0" xfId="0" applyNumberFormat="1" applyFont="1" applyFill="1" applyBorder="1"/>
    <x:xf numFmtId="203" fontId="9" fillId="19" borderId="0" xfId="0" applyNumberFormat="1" applyFont="1" applyFill="1" applyBorder="1"/>
    <x:xf numFmtId="0" fontId="8" fillId="19" borderId="0" xfId="0" applyNumberFormat="1" applyFont="1" applyFill="1" applyBorder="1"/>
    <x:xf numFmtId="203" fontId="8" fillId="19" borderId="0" xfId="0" applyNumberFormat="1" applyFont="1" applyFill="1" applyBorder="1"/>
    <x:xf numFmtId="0" fontId="8" fillId="19" borderId="0" xfId="0" applyNumberFormat="1" applyFont="1" applyFill="1" applyBorder="1" applyAlignment="1">
      <x:alignment wrapText="1"/>
    </x:xf>
    <x:xf numFmtId="203" fontId="8" fillId="19" borderId="0" xfId="0" applyNumberFormat="1" applyFont="1" applyFill="1" applyBorder="1" applyAlignment="1">
      <x:alignment wrapText="1"/>
    </x:xf>
    <x:xf numFmtId="0" fontId="8" fillId="19" borderId="0" xfId="0" applyNumberFormat="1" applyFont="1" applyFill="1" applyBorder="1" applyAlignment="1">
      <x:alignment vertical="center" wrapText="1"/>
    </x:xf>
    <x:xf numFmtId="203" fontId="8" fillId="19" borderId="0" xfId="0" applyNumberFormat="1" applyFont="1" applyFill="1" applyBorder="1" applyAlignment="1">
      <x:alignment vertical="center" wrapText="1"/>
    </x:xf>
    <x:xf numFmtId="0" fontId="10" fillId="16" borderId="0" xfId="0" applyNumberFormat="1" applyFont="1" applyFill="1" applyBorder="1"/>
    <x:xf numFmtId="203" fontId="9" fillId="16" borderId="0" xfId="0" applyNumberFormat="1" applyFont="1" applyFill="1" applyBorder="1"/>
    <x:xf numFmtId="0" fontId="0" fillId="19" borderId="0" xfId="0" applyNumberFormat="1" applyFont="1" applyFill="1" applyBorder="1"/>
    <x:xf numFmtId="203" fontId="0" fillId="19" borderId="0" xfId="0" applyNumberFormat="1" applyFont="1" applyFill="1" applyBorder="1"/>
    <x:xf numFmtId="0" fontId="0" fillId="20" borderId="0" xfId="0" applyNumberFormat="1" applyFont="1" applyFill="1" applyBorder="1"/>
    <x:xf numFmtId="203" fontId="9" fillId="20" borderId="0" xfId="0" applyNumberFormat="1" applyFont="1" applyFill="1" applyBorder="1"/>
    <x:xf numFmtId="0" fontId="18" fillId="20" borderId="0" xfId="0" applyNumberFormat="1" applyFont="1" applyFill="1" applyBorder="1"/>
    <x:xf numFmtId="203" fontId="18" fillId="20" borderId="0" xfId="0" applyNumberFormat="1" applyFont="1" applyFill="1" applyBorder="1"/>
    <x:xf numFmtId="0" fontId="19" fillId="18" borderId="0" xfId="0" applyNumberFormat="1" applyFont="1" applyFill="1" applyBorder="1"/>
    <x:xf numFmtId="0" fontId="19" fillId="18" borderId="0" xfId="0" applyNumberFormat="1" applyFont="1" applyFill="1" applyBorder="1" applyAlignment="1">
      <x:alignment wrapText="1"/>
    </x:xf>
    <x:xf numFmtId="0" fontId="19" fillId="18" borderId="0" xfId="0" applyNumberFormat="1" applyFont="1" applyFill="1" applyBorder="1" applyAlignment="1">
      <x:alignment vertical="center" wrapText="1"/>
    </x:xf>
    <x:xf numFmtId="210" fontId="0" fillId="0" borderId="0" xfId="0" applyNumberFormat="1" applyFont="1" applyFill="1" applyBorder="1"/>
    <x:xf numFmtId="210" fontId="11" fillId="0" borderId="0" xfId="0" applyNumberFormat="1" applyFont="1" applyFill="1" applyBorder="1"/>
    <x:xf numFmtId="0" fontId="0" fillId="16" borderId="0" xfId="0" applyNumberFormat="1" applyFont="1" applyFill="1" applyBorder="1" applyAlignment="1">
      <x:alignment wrapText="1"/>
    </x:xf>
    <x:xf numFmtId="203" fontId="11" fillId="16" borderId="0" xfId="0" applyNumberFormat="1" applyFont="1" applyFill="1" applyBorder="1" applyAlignment="1">
      <x:alignment wrapText="1"/>
    </x:xf>
    <x:xf numFmtId="0" fontId="13" fillId="0" borderId="0" xfId="0" applyNumberFormat="1" applyFont="1" applyFill="1" applyBorder="1" applyAlignment="1">
      <x:alignment wrapText="1"/>
    </x:xf>
    <x:xf numFmtId="0" fontId="13" fillId="16" borderId="0" xfId="0" applyNumberFormat="1" applyFont="1" applyFill="1" applyBorder="1" applyAlignment="1">
      <x:alignment wrapText="1"/>
    </x:xf>
    <x:xf numFmtId="203" fontId="11" fillId="19" borderId="0" xfId="0" applyNumberFormat="1" applyFont="1" applyFill="1" applyBorder="1"/>
    <x:xf numFmtId="203" fontId="11" fillId="16" borderId="0" xfId="0" applyNumberFormat="1" applyFont="1" applyFill="1" applyBorder="1"/>
    <x:xf numFmtId="0" fontId="0" fillId="16" borderId="0" xfId="0" applyNumberFormat="1" applyFont="1" applyFill="1" applyBorder="1"/>
    <x:xf numFmtId="0" fontId="19" fillId="18" borderId="0" xfId="0" applyNumberFormat="1" applyFont="1" applyFill="1" applyBorder="1" applyAlignment="1">
      <x:alignment vertical="top" wrapText="1"/>
    </x:xf>
    <x:xf numFmtId="0" fontId="1" fillId="17" borderId="0" xfId="0" applyNumberFormat="1" applyFont="1" applyFill="1" applyBorder="1" applyAlignment="1">
      <x:alignment horizontal="left" vertical="center" wrapText="1"/>
    </x:xf>
    <x:xf numFmtId="0" fontId="17" fillId="0" borderId="0" xfId="0" applyNumberFormat="1" applyFont="1" applyFill="1" applyBorder="1" applyAlignment="1">
      <x:alignment wrapText="1"/>
    </x:xf>
    <x:xf numFmtId="202" fontId="9" fillId="0" borderId="0" xfId="0" applyNumberFormat="1" applyFont="1" applyFill="1" applyBorder="1" applyAlignment="1">
      <x:alignment wrapText="1"/>
    </x:xf>
    <x:xf numFmtId="208" fontId="11" fillId="0" borderId="0" xfId="0" applyNumberFormat="1" applyFont="1" applyFill="1" applyBorder="1" applyAlignment="1">
      <x:alignment wrapText="1"/>
    </x:xf>
    <x:xf numFmtId="208" fontId="5" fillId="0" borderId="0" xfId="0" applyNumberFormat="1" applyFont="1" applyFill="1" applyBorder="1" applyAlignment="1">
      <x:alignment wrapText="1"/>
    </x:xf>
    <x:xf numFmtId="0" fontId="7" fillId="15" borderId="0" xfId="0" applyNumberFormat="1" applyFont="1" applyFill="1" applyBorder="1" applyAlignment="1">
      <x:alignment horizontal="left" vertical="center" wrapText="1"/>
    </x:xf>
    <x:xf numFmtId="0" fontId="10" fillId="16" borderId="0" xfId="0" applyNumberFormat="1" applyFont="1" applyFill="1" applyBorder="1" applyAlignment="1">
      <x:alignment wrapText="1"/>
    </x:xf>
    <x:xf numFmtId="203" fontId="9" fillId="16" borderId="0" xfId="0" applyNumberFormat="1" applyFont="1" applyFill="1" applyBorder="1" applyAlignment="1">
      <x:alignment wrapText="1"/>
    </x:xf>
    <x:xf numFmtId="209" fontId="9" fillId="0" borderId="0" xfId="0" applyNumberFormat="1" applyFont="1" applyFill="1" applyBorder="1" applyAlignment="1">
      <x:alignment wrapText="1"/>
    </x:xf>
    <x:xf numFmtId="0" fontId="18" fillId="20" borderId="0" xfId="0" applyNumberFormat="1" applyFont="1" applyFill="1" applyBorder="1" applyAlignment="1">
      <x:alignment wrapText="1"/>
    </x:xf>
    <x:xf numFmtId="203" fontId="18" fillId="20" borderId="0" xfId="0" applyNumberFormat="1" applyFont="1" applyFill="1" applyBorder="1" applyAlignment="1">
      <x:alignment wrapText="1"/>
    </x:xf>
    <x:xf numFmtId="210" fontId="11" fillId="0" borderId="0" xfId="0" applyNumberFormat="1" applyFont="1" applyFill="1" applyBorder="1" applyAlignment="1">
      <x:alignment wrapText="1"/>
    </x:xf>
    <x:xf numFmtId="0" fontId="10" fillId="19" borderId="0" xfId="0" applyNumberFormat="1" applyFont="1" applyFill="1" applyBorder="1" applyAlignment="1">
      <x:alignment wrapText="1"/>
    </x:xf>
    <x:xf numFmtId="203" fontId="11" fillId="19" borderId="0" xfId="0" applyNumberFormat="1" applyFont="1" applyFill="1" applyBorder="1" applyAlignment="1">
      <x:alignment wrapText="1"/>
    </x:xf>
    <x:xf numFmtId="0" fontId="0" fillId="19" borderId="0" xfId="0" applyNumberFormat="1" applyFont="1" applyFill="1" applyBorder="1" applyAlignment="1">
      <x:alignment wrapText="1"/>
    </x:xf>
    <x:xf numFmtId="203" fontId="9" fillId="19" borderId="0" xfId="0" applyNumberFormat="1" applyFont="1" applyFill="1" applyBorder="1" applyAlignment="1">
      <x:alignment wrapText="1"/>
    </x:xf>
    <x:xf numFmtId="209" fontId="0" fillId="0" borderId="0" xfId="0" applyNumberFormat="1" applyFont="1" applyFill="1" applyBorder="1"/>
    <x:xf numFmtId="209" fontId="11" fillId="0" borderId="0" xfId="0" applyNumberFormat="1" applyFont="1" applyFill="1" applyBorder="1"/>
    <x:xf numFmtId="0" fontId="0" fillId="14" borderId="0" xfId="0" applyNumberFormat="1" applyFont="1" applyFill="1" applyBorder="1"/>
    <x:xf numFmtId="202" fontId="11" fillId="14" borderId="0" xfId="0" applyNumberFormat="1" applyFont="1" applyFill="1" applyBorder="1"/>
    <x:xf numFmtId="209" fontId="11" fillId="14" borderId="0" xfId="0" applyNumberFormat="1" applyFont="1" applyFill="1" applyBorder="1"/>
    <x:xf numFmtId="203" fontId="11" fillId="14" borderId="0" xfId="0" applyNumberFormat="1" applyFont="1" applyFill="1" applyBorder="1"/>
    <x:xf numFmtId="202" fontId="11" fillId="16" borderId="0" xfId="0" applyNumberFormat="1" applyFont="1" applyFill="1" applyBorder="1"/>
    <x:xf numFmtId="209" fontId="11" fillId="16" borderId="0" xfId="0" applyNumberFormat="1" applyFont="1" applyFill="1" applyBorder="1"/>
    <x:xf numFmtId="0" fontId="13" fillId="20" borderId="0" xfId="0" applyNumberFormat="1" applyFont="1" applyFill="1" applyBorder="1"/>
    <x:xf numFmtId="0" fontId="13" fillId="20" borderId="0" xfId="0" applyNumberFormat="1" applyFont="1" applyFill="1" applyBorder="1" applyAlignment="1">
      <x:alignment wrapText="1"/>
    </x:xf>
    <x:xf numFmtId="0" fontId="13" fillId="20" borderId="0" xfId="0" applyNumberFormat="1" applyFont="1" applyFill="1" applyBorder="1" applyAlignment="1">
      <x:alignment vertical="center" wrapText="1"/>
    </x:xf>
    <x:xf numFmtId="0" fontId="5" fillId="13" borderId="0" xfId="0" applyNumberFormat="1" applyFont="1" applyFill="1" applyBorder="1"/>
    <x:xf numFmtId="209" fontId="5" fillId="13" borderId="0" xfId="0" applyNumberFormat="1" applyFont="1" applyFill="1" applyBorder="1"/>
    <x:xf numFmtId="203" fontId="5" fillId="13" borderId="0" xfId="0" applyNumberFormat="1" applyFont="1" applyFill="1" applyBorder="1"/>
    <x:xf numFmtId="202" fontId="5" fillId="13" borderId="0" xfId="0" applyNumberFormat="1" applyFont="1" applyFill="1" applyBorder="1"/>
    <x:xf numFmtId="0" fontId="6" fillId="16" borderId="0" xfId="0" applyNumberFormat="1" applyFont="1" applyFill="1" applyBorder="1"/>
    <x:xf numFmtId="0" fontId="6" fillId="16" borderId="0" xfId="0" applyNumberFormat="1" applyFont="1" applyFill="1" applyBorder="1" applyAlignment="1">
      <x:alignment wrapText="1"/>
    </x:xf>
    <x:xf numFmtId="207" fontId="0" fillId="0" borderId="0" xfId="0" applyNumberFormat="1" applyFont="1" applyFill="1" applyBorder="1" applyAlignment="1">
      <x:alignment vertical="top"/>
    </x:xf>
    <x:xf numFmtId="207" fontId="11" fillId="0" borderId="0" xfId="0" applyNumberFormat="1" applyFont="1" applyFill="1" applyBorder="1" applyAlignment="1">
      <x:alignment vertical="top"/>
    </x:xf>
    <x:xf numFmtId="0" fontId="0" fillId="16" borderId="0" xfId="0" applyNumberFormat="1" applyFont="1" applyFill="1" applyBorder="1" applyAlignment="1">
      <x:alignment vertical="top"/>
    </x:xf>
    <x:xf numFmtId="203" fontId="11" fillId="16" borderId="0" xfId="0" applyNumberFormat="1" applyFont="1" applyFill="1" applyBorder="1" applyAlignment="1">
      <x:alignment vertical="top"/>
    </x:xf>
    <x:xf numFmtId="0" fontId="0" fillId="19" borderId="0" xfId="0" applyNumberFormat="1" applyFont="1" applyFill="1" applyBorder="1" applyAlignment="1">
      <x:alignment vertical="top"/>
    </x:xf>
    <x:xf numFmtId="207" fontId="11" fillId="19" borderId="0" xfId="0" applyNumberFormat="1" applyFont="1" applyFill="1" applyBorder="1" applyAlignment="1">
      <x:alignment vertical="top"/>
    </x:xf>
    <x:xf numFmtId="203" fontId="11" fillId="19" borderId="0" xfId="0" applyNumberFormat="1" applyFont="1" applyFill="1" applyBorder="1" applyAlignment="1">
      <x:alignment vertical="top"/>
    </x:xf>
    <x:xf numFmtId="0" fontId="1" fillId="17" borderId="0" xfId="0" applyNumberFormat="1" applyFont="1" applyFill="1" applyBorder="1" applyAlignment="1">
      <x:alignment horizontal="left" vertical="top"/>
    </x:xf>
    <x:xf numFmtId="0" fontId="2" fillId="18" borderId="0" xfId="0" applyNumberFormat="1" applyFont="1" applyFill="1" applyBorder="1" applyAlignment="1">
      <x:alignment vertical="top" wrapText="1"/>
    </x:xf>
    <x:xf numFmtId="0" fontId="15" fillId="18" borderId="0" xfId="0" applyNumberFormat="1" applyFont="1" applyFill="1" applyBorder="1" applyAlignment="1">
      <x:alignment horizontal="left" vertical="top" wrapText="1"/>
    </x:xf>
    <x:xf numFmtId="0" fontId="0" fillId="18" borderId="0" xfId="0" applyNumberFormat="1" applyFont="1" applyFill="1" applyBorder="1" applyAlignment="1">
      <x:alignment vertical="top"/>
    </x:xf>
    <x:xf numFmtId="0" fontId="6" fillId="18" borderId="0" xfId="0" applyNumberFormat="1" applyFont="1" applyFill="1" applyBorder="1" applyAlignment="1">
      <x:alignment horizontal="left" vertical="top" wrapText="1"/>
    </x:xf>
    <x:xf numFmtId="0" fontId="16" fillId="18" borderId="0" xfId="0" applyNumberFormat="1" applyFont="1" applyFill="1" applyBorder="1" applyAlignment="1">
      <x:alignment vertical="top"/>
    </x:xf>
    <x:xf numFmtId="0" fontId="16" fillId="18" borderId="0" xfId="0" applyNumberFormat="1" applyFont="1" applyFill="1" applyBorder="1" applyAlignment="1">
      <x:alignment vertical="top" wrapText="1"/>
    </x:xf>
    <x:xf numFmtId="0" fontId="6" fillId="18" borderId="0" xfId="0" applyNumberFormat="1" applyFont="1" applyFill="1" applyBorder="1" applyAlignment="1">
      <x:alignment horizontal="left" vertical="center" wrapText="1"/>
    </x:xf>
    <x:xf numFmtId="0" fontId="16" fillId="18" borderId="0" xfId="0" applyNumberFormat="1" applyFont="1" applyFill="1" applyBorder="1" applyAlignment="1">
      <x:alignment vertical="center" wrapText="1"/>
    </x:xf>
    <x:xf numFmtId="0" fontId="3" fillId="15" borderId="0" xfId="0" applyNumberFormat="1" applyFont="1" applyFill="1" applyBorder="1" applyAlignment="1">
      <x:alignment horizontal="center" vertical="top" wrapText="1"/>
    </x:xf>
    <x:xf numFmtId="0" fontId="7" fillId="15" borderId="0" xfId="0" applyNumberFormat="1" applyFont="1" applyFill="1" applyBorder="1" applyAlignment="1">
      <x:alignment horizontal="center" vertical="top" wrapText="1"/>
    </x:xf>
    <x:xf numFmtId="0" fontId="7" fillId="15" borderId="0" xfId="0" applyNumberFormat="1" applyFont="1" applyFill="1" applyBorder="1" applyAlignment="1">
      <x:alignment horizontal="left" vertical="top" wrapText="1"/>
    </x:xf>
    <x:xf numFmtId="0" fontId="0" fillId="17" borderId="0" xfId="0" applyNumberFormat="1" applyFont="1" applyFill="1" applyBorder="1" applyAlignment="1">
      <x:alignment vertical="top" wrapText="1"/>
    </x:xf>
    <x:xf numFmtId="205" fontId="11" fillId="17" borderId="0" xfId="0" applyNumberFormat="1" applyFont="1" applyFill="1" applyBorder="1" applyAlignment="1">
      <x:alignment vertical="top" wrapText="1"/>
    </x:xf>
    <x:xf numFmtId="205" fontId="3" fillId="17" borderId="0" xfId="0" applyNumberFormat="1" applyFont="1" applyFill="1" applyBorder="1" applyAlignment="1">
      <x:alignment vertical="top" wrapText="1"/>
    </x:xf>
    <x:xf numFmtId="205" fontId="3" fillId="17" borderId="0" xfId="0" applyNumberFormat="1" applyFont="1" applyFill="1" applyBorder="1" applyAlignment="1">
      <x:alignment horizontal="center" vertical="top" wrapText="1"/>
    </x:xf>
    <x:xf numFmtId="205" fontId="3" fillId="17" borderId="0" xfId="0" applyNumberFormat="1" applyFont="1" applyFill="1" applyBorder="1" applyAlignment="1">
      <x:alignment horizontal="center" vertical="center" wrapText="1"/>
    </x:xf>
    <x:xf numFmtId="203" fontId="11" fillId="17" borderId="0" xfId="0" applyNumberFormat="1" applyFont="1" applyFill="1" applyBorder="1" applyAlignment="1">
      <x:alignment vertical="top" wrapText="1"/>
    </x:xf>
    <x:xf numFmtId="203" fontId="3" fillId="17" borderId="0" xfId="0" applyNumberFormat="1" applyFont="1" applyFill="1" applyBorder="1" applyAlignment="1">
      <x:alignment vertical="top" wrapText="1"/>
    </x:xf>
    <x:xf numFmtId="203" fontId="3" fillId="17" borderId="0" xfId="0" applyNumberFormat="1" applyFont="1" applyFill="1" applyBorder="1" applyAlignment="1">
      <x:alignment horizontal="center" vertical="top" wrapText="1"/>
    </x:xf>
    <x:xf numFmtId="203" fontId="3" fillId="17" borderId="0" xfId="0" applyNumberFormat="1" applyFont="1" applyFill="1" applyBorder="1" applyAlignment="1">
      <x:alignment horizontal="center" vertical="center" wrapText="1"/>
    </x:xf>
    <x:xf numFmtId="202" fontId="0" fillId="0" borderId="0" xfId="0" applyNumberFormat="1" applyFont="1" applyFill="1" applyBorder="1" applyAlignment="1">
      <x:alignment vertical="top"/>
    </x:xf>
    <x:xf numFmtId="202" fontId="11" fillId="0" borderId="0" xfId="0" applyNumberFormat="1" applyFont="1" applyFill="1" applyBorder="1" applyAlignment="1">
      <x:alignment vertical="top"/>
    </x:xf>
    <x:xf numFmtId="0" fontId="0" fillId="15" borderId="0" xfId="0" applyNumberFormat="1" applyFont="1" applyFill="1" applyBorder="1" applyAlignment="1">
      <x:alignment vertical="top" wrapText="1"/>
    </x:xf>
    <x:xf numFmtId="200" fontId="11" fillId="15" borderId="0" xfId="0" applyNumberFormat="1" applyFont="1" applyFill="1" applyBorder="1" applyAlignment="1">
      <x:alignment vertical="top" wrapText="1"/>
    </x:xf>
    <x:xf numFmtId="0" fontId="7" fillId="15" borderId="0" xfId="0" applyNumberFormat="1" applyFont="1" applyFill="1" applyBorder="1" applyAlignment="1">
      <x:alignment vertical="top" wrapText="1"/>
    </x:xf>
    <x:xf numFmtId="200" fontId="7" fillId="15" borderId="0" xfId="0" applyNumberFormat="1" applyFont="1" applyFill="1" applyBorder="1" applyAlignment="1">
      <x:alignment vertical="top" wrapText="1"/>
    </x:xf>
    <x:xf numFmtId="200" fontId="7" fillId="15" borderId="0" xfId="0" applyNumberFormat="1" applyFont="1" applyFill="1" applyBorder="1" applyAlignment="1">
      <x:alignment horizontal="left" vertical="top" wrapText="1"/>
    </x:xf>
    <x:xf numFmtId="200" fontId="7" fillId="15" borderId="0" xfId="0" applyNumberFormat="1" applyFont="1" applyFill="1" applyBorder="1" applyAlignment="1">
      <x:alignment horizontal="left" vertical="center" wrapText="1"/>
    </x:xf>
    <x:xf numFmtId="200" fontId="11" fillId="17" borderId="0" xfId="0" applyNumberFormat="1" applyFont="1" applyFill="1" applyBorder="1" applyAlignment="1">
      <x:alignment vertical="top" wrapText="1"/>
    </x:xf>
    <x:xf numFmtId="200" fontId="3" fillId="17" borderId="0" xfId="0" applyNumberFormat="1" applyFont="1" applyFill="1" applyBorder="1" applyAlignment="1">
      <x:alignment vertical="top" wrapText="1"/>
    </x:xf>
    <x:xf numFmtId="200" fontId="3" fillId="17" borderId="0" xfId="0" applyNumberFormat="1" applyFont="1" applyFill="1" applyBorder="1" applyAlignment="1">
      <x:alignment horizontal="center" vertical="top" wrapText="1"/>
    </x:xf>
    <x:xf numFmtId="200" fontId="3" fillId="17" borderId="0" xfId="0" applyNumberFormat="1" applyFont="1" applyFill="1" applyBorder="1" applyAlignment="1">
      <x:alignment horizontal="center" vertical="center" wrapText="1"/>
    </x:xf>
    <x:xf numFmtId="205" fontId="13" fillId="11" borderId="0" xfId="0" applyNumberFormat="1" applyFont="1" applyFill="1" applyBorder="1" applyAlignment="1">
      <x:alignment vertical="top" wrapText="1"/>
    </x:xf>
    <x:xf numFmtId="205" fontId="14" fillId="11" borderId="0" xfId="0" applyNumberFormat="1" applyFont="1" applyFill="1" applyBorder="1" applyAlignment="1">
      <x:alignment vertical="top" wrapText="1"/>
    </x:xf>
    <x:xf numFmtId="0" fontId="16" fillId="15" borderId="0" xfId="0" applyNumberFormat="1" applyFont="1" applyFill="1" applyBorder="1" applyAlignment="1">
      <x:alignment vertical="top" wrapText="1"/>
    </x:xf>
    <x:xf numFmtId="0" fontId="16" fillId="17" borderId="0" xfId="0" applyNumberFormat="1" applyFont="1" applyFill="1" applyBorder="1" applyAlignment="1">
      <x:alignment vertical="top" wrapText="1"/>
    </x:xf>
    <x:xf numFmtId="207" fontId="16" fillId="3" borderId="0" xfId="0" applyNumberFormat="1" applyFont="1" applyFill="1" applyBorder="1" applyAlignment="1">
      <x:alignment vertical="top" wrapText="1"/>
    </x:xf>
    <x:xf numFmtId="205" fontId="16" fillId="3" borderId="0" xfId="0" applyNumberFormat="1" applyFont="1" applyFill="1" applyBorder="1" applyAlignment="1">
      <x:alignment vertical="top" wrapText="1"/>
    </x:xf>
    <x:xf numFmtId="207" fontId="11" fillId="3" borderId="0" xfId="0" applyNumberFormat="1" applyFont="1" applyFill="1" applyBorder="1" applyAlignment="1">
      <x:alignment vertical="top" wrapText="1"/>
    </x:xf>
    <x:xf numFmtId="205" fontId="11" fillId="3" borderId="0" xfId="0" applyNumberFormat="1" applyFont="1" applyFill="1" applyBorder="1" applyAlignment="1">
      <x:alignment vertical="top" wrapText="1"/>
    </x:xf>
    <x:xf numFmtId="0" fontId="6" fillId="15" borderId="0" xfId="0" applyNumberFormat="1" applyFont="1" applyFill="1" applyBorder="1" applyAlignment="1">
      <x:alignment vertical="center" wrapText="1"/>
    </x:xf>
    <x:xf numFmtId="0" fontId="0" fillId="15" borderId="0" xfId="0" applyNumberFormat="1" applyFont="1" applyFill="1" applyBorder="1" applyAlignment="1">
      <x:alignment vertical="center" wrapText="1"/>
    </x:xf>
    <x:xf numFmtId="0" fontId="7" fillId="15" borderId="0" xfId="0" applyNumberFormat="1" applyFont="1" applyFill="1" applyBorder="1" applyAlignment="1">
      <x:alignment vertical="center" wrapText="1"/>
    </x:xf>
    <x:xf numFmtId="0" fontId="6" fillId="19" borderId="0" xfId="0" applyNumberFormat="1" applyFont="1" applyFill="1" applyBorder="1" applyAlignment="1">
      <x:alignment vertical="center" wrapText="1"/>
    </x:xf>
    <x:xf numFmtId="0" fontId="0" fillId="19" borderId="0" xfId="0" applyNumberFormat="1" applyFont="1" applyFill="1" applyBorder="1" applyAlignment="1">
      <x:alignment vertical="center" wrapText="1"/>
    </x:xf>
    <x:xf numFmtId="0" fontId="13" fillId="19" borderId="0" xfId="0" applyNumberFormat="1" applyFont="1" applyFill="1" applyBorder="1" applyAlignment="1">
      <x:alignment vertical="center" wrapText="1"/>
    </x:xf>
    <x:xf numFmtId="0" fontId="3" fillId="19" borderId="0" xfId="0" applyNumberFormat="1" applyFont="1" applyFill="1" applyBorder="1" applyAlignment="1">
      <x:alignment horizontal="center" vertical="center" wrapText="1"/>
    </x:xf>
    <x:xf numFmtId="0" fontId="3" fillId="19" borderId="0" xfId="0" applyNumberFormat="1" applyFont="1" applyFill="1" applyBorder="1" applyAlignment="1">
      <x:alignment horizontal="center" vertical="top" wrapText="1"/>
    </x:xf>
    <x:xf numFmtId="0" fontId="6" fillId="19" borderId="0" xfId="0" applyNumberFormat="1" applyFont="1" applyFill="1" applyBorder="1" applyAlignment="1">
      <x:alignment vertical="top"/>
    </x:xf>
    <x:xf numFmtId="0" fontId="6" fillId="19" borderId="0" xfId="0" applyNumberFormat="1" applyFont="1" applyFill="1" applyBorder="1" applyAlignment="1">
      <x:alignment horizontal="center" vertical="center" wrapText="1"/>
    </x:xf>
    <x:xf numFmtId="0" fontId="6" fillId="19" borderId="0" xfId="0" applyNumberFormat="1" applyFont="1" applyFill="1" applyBorder="1" applyAlignment="1">
      <x:alignment horizontal="center" vertical="top" wrapText="1"/>
    </x:xf>
    <x:xf numFmtId="0" fontId="6" fillId="19" borderId="0" xfId="0" applyNumberFormat="1" applyFont="1" applyFill="1" applyBorder="1" applyAlignment="1">
      <x:alignment vertical="top" wrapText="1"/>
    </x:xf>
    <x:xf numFmtId="205" fontId="11" fillId="15" borderId="0" xfId="0" applyNumberFormat="1" applyFont="1" applyFill="1" applyBorder="1" applyAlignment="1">
      <x:alignment vertical="top"/>
    </x:xf>
    <x:xf numFmtId="205" fontId="7" fillId="15" borderId="0" xfId="0" applyNumberFormat="1" applyFont="1" applyFill="1" applyBorder="1" applyAlignment="1">
      <x:alignment vertical="top"/>
    </x:xf>
    <x:xf numFmtId="205" fontId="7" fillId="15" borderId="0" xfId="0" applyNumberFormat="1" applyFont="1" applyFill="1" applyBorder="1" applyAlignment="1">
      <x:alignment horizontal="left" vertical="top"/>
    </x:xf>
    <x:xf numFmtId="205" fontId="7" fillId="15" borderId="0" xfId="0" applyNumberFormat="1" applyFont="1" applyFill="1" applyBorder="1" applyAlignment="1">
      <x:alignment horizontal="left" vertical="center"/>
    </x:xf>
    <x:xf numFmtId="0" fontId="0" fillId="21" borderId="0" xfId="0" applyNumberFormat="1" applyFont="1" applyFill="1" applyBorder="1" applyAlignment="1">
      <x:alignment vertical="top"/>
    </x:xf>
    <x:xf numFmtId="0" fontId="3" fillId="21" borderId="0" xfId="0" applyNumberFormat="1" applyFont="1" applyFill="1" applyBorder="1" applyAlignment="1">
      <x:alignment vertical="top"/>
    </x:xf>
    <x:xf numFmtId="0" fontId="3" fillId="21" borderId="0" xfId="0" applyNumberFormat="1" applyFont="1" applyFill="1" applyBorder="1" applyAlignment="1">
      <x:alignment vertical="top" wrapText="1"/>
    </x:xf>
    <x:xf numFmtId="0" fontId="3" fillId="21" borderId="0" xfId="0" applyNumberFormat="1" applyFont="1" applyFill="1" applyBorder="1" applyAlignment="1">
      <x:alignment horizontal="center" vertical="top" wrapText="1"/>
    </x:xf>
    <x:xf numFmtId="0" fontId="3" fillId="21" borderId="0" xfId="0" applyNumberFormat="1" applyFont="1" applyFill="1" applyBorder="1" applyAlignment="1">
      <x:alignment horizontal="center" vertical="center" wrapText="1"/>
    </x:xf>
    <x:xf numFmtId="0" fontId="13" fillId="13" borderId="0" xfId="0" applyNumberFormat="1" applyFont="1" applyFill="1" applyBorder="1" applyAlignment="1">
      <x:alignment vertical="top" wrapText="1"/>
    </x:xf>
    <x:xf numFmtId="0" fontId="1" fillId="2" borderId="0" xfId="0" applyNumberFormat="1" applyFont="1" applyFill="1" applyBorder="1" applyAlignment="1">
      <x:alignment horizontal="left" vertical="top" wrapText="1"/>
    </x:xf>
    <x:xf numFmtId="203" fontId="14" fillId="16" borderId="0" xfId="0" applyNumberFormat="1" applyFont="1" applyFill="1" applyBorder="1" applyAlignment="1">
      <x:alignment vertical="top" wrapText="1"/>
    </x:xf>
    <x:xf numFmtId="208" fontId="5" fillId="4" borderId="0" xfId="0" applyNumberFormat="1" applyFont="1" applyFill="1" applyBorder="1" applyAlignment="1">
      <x:alignment horizontal="right" vertical="top" wrapText="1"/>
    </x:xf>
    <x:xf numFmtId="209" fontId="5" fillId="4" borderId="0" xfId="0" applyNumberFormat="1" applyFont="1" applyFill="1" applyBorder="1" applyAlignment="1">
      <x:alignment horizontal="right" vertical="top" wrapText="1"/>
    </x:xf>
    <x:xf numFmtId="208" fontId="5" fillId="5" borderId="0" xfId="0" applyNumberFormat="1" applyFont="1" applyFill="1" applyBorder="1" applyAlignment="1">
      <x:alignment horizontal="right" vertical="top" wrapText="1"/>
    </x:xf>
    <x:xf numFmtId="0" fontId="0" fillId="6" borderId="0" xfId="0" applyNumberFormat="1" applyFont="1" applyFill="1" applyBorder="1" applyAlignment="1">
      <x:alignment vertical="top"/>
    </x:xf>
    <x:xf numFmtId="0" fontId="7" fillId="6" borderId="0" xfId="0" applyNumberFormat="1" applyFont="1" applyFill="1" applyBorder="1" applyAlignment="1">
      <x:alignment vertical="top"/>
    </x:xf>
    <x:xf numFmtId="0" fontId="0" fillId="5" borderId="0" xfId="0" applyNumberFormat="1" applyFont="1" applyFill="1" applyBorder="1" applyAlignment="1">
      <x:alignment vertical="top"/>
    </x:xf>
    <x:xf numFmtId="0" fontId="6" fillId="5" borderId="0" xfId="0" applyNumberFormat="1" applyFont="1" applyFill="1" applyBorder="1" applyAlignment="1">
      <x:alignment vertical="top"/>
    </x:xf>
    <x:xf numFmtId="0" fontId="0" fillId="7" borderId="0" xfId="0" applyNumberFormat="1" applyFont="1" applyFill="1" applyBorder="1" applyAlignment="1">
      <x:alignment vertical="top" wrapText="1"/>
    </x:xf>
    <x:xf numFmtId="0" fontId="5" fillId="7" borderId="0" xfId="0" applyNumberFormat="1" applyFont="1" applyFill="1" applyBorder="1" applyAlignment="1">
      <x:alignment vertical="top" wrapText="1"/>
    </x:xf>
    <x:xf numFmtId="203" fontId="5" fillId="7" borderId="0" xfId="0" applyNumberFormat="1" applyFont="1" applyFill="1" applyBorder="1" applyAlignment="1">
      <x:alignment vertical="top" wrapText="1"/>
    </x:xf>
    <x:xf numFmtId="202" fontId="5" fillId="7" borderId="0" xfId="0" applyNumberFormat="1" applyFont="1" applyFill="1" applyBorder="1" applyAlignment="1">
      <x:alignment vertical="top" wrapText="1"/>
    </x:xf>
    <x:xf numFmtId="203" fontId="9" fillId="7" borderId="0" xfId="0" applyNumberFormat="1" applyFont="1" applyFill="1" applyBorder="1" applyAlignment="1">
      <x:alignment vertical="top" wrapText="1"/>
    </x:xf>
    <x:xf numFmtId="202" fontId="8" fillId="7" borderId="0" xfId="0" applyNumberFormat="1" applyFont="1" applyFill="1" applyBorder="1" applyAlignment="1">
      <x:alignment vertical="top" wrapText="1"/>
    </x:xf>
    <x:xf numFmtId="203" fontId="14" fillId="7" borderId="0" xfId="0" applyNumberFormat="1" applyFont="1" applyFill="1" applyBorder="1" applyAlignment="1">
      <x:alignment vertical="center" wrapText="1"/>
    </x:xf>
    <x:xf numFmtId="0" fontId="0" fillId="2" borderId="0" xfId="0" applyNumberFormat="1" applyFont="1" applyFill="1" applyBorder="1" applyAlignment="1">
      <x:alignment vertical="top"/>
    </x:xf>
    <x:xf numFmtId="0" fontId="3" fillId="2" borderId="0" xfId="0" applyNumberFormat="1" applyFont="1" applyFill="1" applyBorder="1" applyAlignment="1">
      <x:alignment vertical="top"/>
    </x:xf>
    <x:xf numFmtId="0" fontId="3" fillId="2" borderId="0" xfId="0" applyNumberFormat="1" applyFont="1" applyFill="1" applyBorder="1" applyAlignment="1">
      <x:alignment vertical="top" wrapText="1"/>
    </x:xf>
    <x:xf numFmtId="0" fontId="10" fillId="9" borderId="0" xfId="0" applyNumberFormat="1" applyFont="1" applyFill="1" applyBorder="1"/>
    <x:xf numFmtId="203" fontId="9" fillId="9" borderId="0" xfId="0" applyNumberFormat="1" applyFont="1" applyFill="1" applyBorder="1"/>
    <x:xf numFmtId="203" fontId="8" fillId="9" borderId="0" xfId="0" applyNumberFormat="1" applyFont="1" applyFill="1" applyBorder="1"/>
    <x:xf numFmtId="0" fontId="8" fillId="9" borderId="0" xfId="0" applyNumberFormat="1" applyFont="1" applyFill="1" applyBorder="1" applyAlignment="1">
      <x:alignment wrapText="1"/>
    </x:xf>
    <x:xf numFmtId="203" fontId="8" fillId="9" borderId="0" xfId="0" applyNumberFormat="1" applyFont="1" applyFill="1" applyBorder="1" applyAlignment="1">
      <x:alignment wrapText="1"/>
    </x:xf>
    <x:xf numFmtId="0" fontId="10" fillId="7" borderId="0" xfId="0" applyNumberFormat="1" applyFont="1" applyFill="1" applyBorder="1"/>
    <x:xf numFmtId="203" fontId="9" fillId="7" borderId="0" xfId="0" applyNumberFormat="1" applyFont="1" applyFill="1" applyBorder="1"/>
    <x:xf numFmtId="203" fontId="0" fillId="9" borderId="0" xfId="0" applyNumberFormat="1" applyFont="1" applyFill="1" applyBorder="1"/>
    <x:xf numFmtId="203" fontId="9" fillId="11" borderId="0" xfId="0" applyNumberFormat="1" applyFont="1" applyFill="1" applyBorder="1"/>
    <x:xf numFmtId="0" fontId="18" fillId="11" borderId="0" xfId="0" applyNumberFormat="1" applyFont="1" applyFill="1" applyBorder="1"/>
    <x:xf numFmtId="203" fontId="18" fillId="11" borderId="0" xfId="0" applyNumberFormat="1" applyFont="1" applyFill="1" applyBorder="1"/>
    <x:xf numFmtId="0" fontId="19" fillId="3" borderId="0" xfId="0" applyNumberFormat="1" applyFont="1" applyFill="1" applyBorder="1"/>
    <x:xf numFmtId="0" fontId="19" fillId="3" borderId="0" xfId="0" applyNumberFormat="1" applyFont="1" applyFill="1" applyBorder="1" applyAlignment="1">
      <x:alignment wrapText="1"/>
    </x:xf>
    <x:xf numFmtId="0" fontId="19" fillId="3" borderId="0" xfId="0" applyNumberFormat="1" applyFont="1" applyFill="1" applyBorder="1" applyAlignment="1">
      <x:alignment vertical="center" wrapText="1"/>
    </x:xf>
    <x:xf numFmtId="0" fontId="0" fillId="7" borderId="0" xfId="0" applyNumberFormat="1" applyFont="1" applyFill="1" applyBorder="1" applyAlignment="1">
      <x:alignment wrapText="1"/>
    </x:xf>
    <x:xf numFmtId="203" fontId="11" fillId="7" borderId="0" xfId="0" applyNumberFormat="1" applyFont="1" applyFill="1" applyBorder="1" applyAlignment="1">
      <x:alignment wrapText="1"/>
    </x:xf>
    <x:xf numFmtId="0" fontId="13" fillId="7" borderId="0" xfId="0" applyNumberFormat="1" applyFont="1" applyFill="1" applyBorder="1" applyAlignment="1">
      <x:alignment wrapText="1"/>
    </x:xf>
    <x:xf numFmtId="203" fontId="11" fillId="9" borderId="0" xfId="0" applyNumberFormat="1" applyFont="1" applyFill="1" applyBorder="1"/>
    <x:xf numFmtId="203" fontId="11" fillId="7" borderId="0" xfId="0" applyNumberFormat="1" applyFont="1" applyFill="1" applyBorder="1"/>
    <x:xf numFmtId="0" fontId="19" fillId="3" borderId="0" xfId="0" applyNumberFormat="1" applyFont="1" applyFill="1" applyBorder="1" applyAlignment="1">
      <x:alignment vertical="top" wrapText="1"/>
    </x:xf>
    <x:xf numFmtId="0" fontId="1" fillId="2" borderId="0" xfId="0" applyNumberFormat="1" applyFont="1" applyFill="1" applyBorder="1" applyAlignment="1">
      <x:alignment horizontal="left" vertical="center" wrapText="1"/>
    </x:xf>
    <x:xf numFmtId="0" fontId="10" fillId="7" borderId="0" xfId="0" applyNumberFormat="1" applyFont="1" applyFill="1" applyBorder="1" applyAlignment="1">
      <x:alignment wrapText="1"/>
    </x:xf>
    <x:xf numFmtId="203" fontId="9" fillId="7" borderId="0" xfId="0" applyNumberFormat="1" applyFont="1" applyFill="1" applyBorder="1" applyAlignment="1">
      <x:alignment wrapText="1"/>
    </x:xf>
    <x:xf numFmtId="0" fontId="18" fillId="11" borderId="0" xfId="0" applyNumberFormat="1" applyFont="1" applyFill="1" applyBorder="1" applyAlignment="1">
      <x:alignment wrapText="1"/>
    </x:xf>
    <x:xf numFmtId="203" fontId="18" fillId="11" borderId="0" xfId="0" applyNumberFormat="1" applyFont="1" applyFill="1" applyBorder="1" applyAlignment="1">
      <x:alignment wrapText="1"/>
    </x:xf>
    <x:xf numFmtId="0" fontId="10" fillId="9" borderId="0" xfId="0" applyNumberFormat="1" applyFont="1" applyFill="1" applyBorder="1" applyAlignment="1">
      <x:alignment wrapText="1"/>
    </x:xf>
    <x:xf numFmtId="203" fontId="11" fillId="9" borderId="0" xfId="0" applyNumberFormat="1" applyFont="1" applyFill="1" applyBorder="1" applyAlignment="1">
      <x:alignment wrapText="1"/>
    </x:xf>
    <x:xf numFmtId="0" fontId="0" fillId="9" borderId="0" xfId="0" applyNumberFormat="1" applyFont="1" applyFill="1" applyBorder="1" applyAlignment="1">
      <x:alignment wrapText="1"/>
    </x:xf>
    <x:xf numFmtId="203" fontId="9" fillId="9" borderId="0" xfId="0" applyNumberFormat="1" applyFont="1" applyFill="1" applyBorder="1" applyAlignment="1">
      <x:alignment wrapText="1"/>
    </x:xf>
    <x:xf numFmtId="202" fontId="11" fillId="5" borderId="0" xfId="0" applyNumberFormat="1" applyFont="1" applyFill="1" applyBorder="1"/>
    <x:xf numFmtId="209" fontId="11" fillId="5" borderId="0" xfId="0" applyNumberFormat="1" applyFont="1" applyFill="1" applyBorder="1"/>
    <x:xf numFmtId="202" fontId="11" fillId="7" borderId="0" xfId="0" applyNumberFormat="1" applyFont="1" applyFill="1" applyBorder="1"/>
    <x:xf numFmtId="209" fontId="11" fillId="7" borderId="0" xfId="0" applyNumberFormat="1" applyFont="1" applyFill="1" applyBorder="1"/>
    <x:xf numFmtId="0" fontId="13" fillId="11" borderId="0" xfId="0" applyNumberFormat="1" applyFont="1" applyFill="1" applyBorder="1" applyAlignment="1">
      <x:alignment vertical="center" wrapText="1"/>
    </x:xf>
    <x:xf numFmtId="0" fontId="5" fillId="4" borderId="0" xfId="0" applyNumberFormat="1" applyFont="1" applyFill="1" applyBorder="1"/>
    <x:xf numFmtId="209" fontId="5" fillId="4" borderId="0" xfId="0" applyNumberFormat="1" applyFont="1" applyFill="1" applyBorder="1"/>
    <x:xf numFmtId="203" fontId="5" fillId="4" borderId="0" xfId="0" applyNumberFormat="1" applyFont="1" applyFill="1" applyBorder="1"/>
    <x:xf numFmtId="202" fontId="5" fillId="4" borderId="0" xfId="0" applyNumberFormat="1" applyFont="1" applyFill="1" applyBorder="1"/>
    <x:xf numFmtId="0" fontId="0" fillId="7" borderId="0" xfId="0" applyNumberFormat="1" applyFont="1" applyFill="1" applyBorder="1" applyAlignment="1">
      <x:alignment vertical="top"/>
    </x:xf>
    <x:xf numFmtId="203" fontId="11" fillId="7" borderId="0" xfId="0" applyNumberFormat="1" applyFont="1" applyFill="1" applyBorder="1" applyAlignment="1">
      <x:alignment vertical="top"/>
    </x:xf>
    <x:xf numFmtId="0" fontId="0" fillId="9" borderId="0" xfId="0" applyNumberFormat="1" applyFont="1" applyFill="1" applyBorder="1" applyAlignment="1">
      <x:alignment vertical="top"/>
    </x:xf>
    <x:xf numFmtId="207" fontId="11" fillId="9" borderId="0" xfId="0" applyNumberFormat="1" applyFont="1" applyFill="1" applyBorder="1" applyAlignment="1">
      <x:alignment vertical="top"/>
    </x:xf>
    <x:xf numFmtId="203" fontId="11" fillId="9" borderId="0" xfId="0" applyNumberFormat="1" applyFont="1" applyFill="1" applyBorder="1" applyAlignment="1">
      <x:alignment vertical="top"/>
    </x:xf>
    <x:xf numFmtId="0" fontId="15" fillId="3" borderId="0" xfId="0" applyNumberFormat="1" applyFont="1" applyFill="1" applyBorder="1" applyAlignment="1">
      <x:alignment horizontal="left" vertical="top" wrapText="1"/>
    </x:xf>
    <x:xf numFmtId="0" fontId="0" fillId="3" borderId="0" xfId="0" applyNumberFormat="1" applyFont="1" applyFill="1" applyBorder="1" applyAlignment="1">
      <x:alignment vertical="top"/>
    </x:xf>
    <x:xf numFmtId="0" fontId="6" fillId="3" borderId="0" xfId="0" applyNumberFormat="1" applyFont="1" applyFill="1" applyBorder="1" applyAlignment="1">
      <x:alignment horizontal="left" vertical="top" wrapText="1"/>
    </x:xf>
    <x:xf numFmtId="0" fontId="16" fillId="3" borderId="0" xfId="0" applyNumberFormat="1" applyFont="1" applyFill="1" applyBorder="1" applyAlignment="1">
      <x:alignment vertical="top"/>
    </x:xf>
    <x:xf numFmtId="0" fontId="6" fillId="3" borderId="0" xfId="0" applyNumberFormat="1" applyFont="1" applyFill="1" applyBorder="1" applyAlignment="1">
      <x:alignment horizontal="left" vertical="center" wrapText="1"/>
    </x:xf>
    <x:xf numFmtId="0" fontId="16" fillId="3" borderId="0" xfId="0" applyNumberFormat="1" applyFont="1" applyFill="1" applyBorder="1" applyAlignment="1">
      <x:alignment vertical="center" wrapText="1"/>
    </x:xf>
    <x:xf numFmtId="0" fontId="3" fillId="6" borderId="0" xfId="0" applyNumberFormat="1" applyFont="1" applyFill="1" applyBorder="1" applyAlignment="1">
      <x:alignment horizontal="center" vertical="top" wrapText="1"/>
    </x:xf>
    <x:xf numFmtId="0" fontId="7" fillId="6" borderId="0" xfId="0" applyNumberFormat="1" applyFont="1" applyFill="1" applyBorder="1" applyAlignment="1">
      <x:alignment horizontal="center" vertical="top" wrapText="1"/>
    </x:xf>
    <x:xf numFmtId="0" fontId="0" fillId="2" borderId="0" xfId="0" applyNumberFormat="1" applyFont="1" applyFill="1" applyBorder="1" applyAlignment="1">
      <x:alignment vertical="top" wrapText="1"/>
    </x:xf>
    <x:xf numFmtId="205" fontId="11" fillId="2" borderId="0" xfId="0" applyNumberFormat="1" applyFont="1" applyFill="1" applyBorder="1" applyAlignment="1">
      <x:alignment vertical="top" wrapText="1"/>
    </x:xf>
    <x:xf numFmtId="205" fontId="3" fillId="2" borderId="0" xfId="0" applyNumberFormat="1" applyFont="1" applyFill="1" applyBorder="1" applyAlignment="1">
      <x:alignment vertical="top" wrapText="1"/>
    </x:xf>
    <x:xf numFmtId="205" fontId="3" fillId="2" borderId="0" xfId="0" applyNumberFormat="1" applyFont="1" applyFill="1" applyBorder="1" applyAlignment="1">
      <x:alignment horizontal="center" vertical="top" wrapText="1"/>
    </x:xf>
    <x:xf numFmtId="205" fontId="3" fillId="2" borderId="0" xfId="0" applyNumberFormat="1" applyFont="1" applyFill="1" applyBorder="1" applyAlignment="1">
      <x:alignment horizontal="center" vertical="center" wrapText="1"/>
    </x:xf>
    <x:xf numFmtId="203" fontId="11" fillId="2" borderId="0" xfId="0" applyNumberFormat="1" applyFont="1" applyFill="1" applyBorder="1" applyAlignment="1">
      <x:alignment vertical="top" wrapText="1"/>
    </x:xf>
    <x:xf numFmtId="203" fontId="3" fillId="2" borderId="0" xfId="0" applyNumberFormat="1" applyFont="1" applyFill="1" applyBorder="1" applyAlignment="1">
      <x:alignment vertical="top" wrapText="1"/>
    </x:xf>
    <x:xf numFmtId="203" fontId="3" fillId="2" borderId="0" xfId="0" applyNumberFormat="1" applyFont="1" applyFill="1" applyBorder="1" applyAlignment="1">
      <x:alignment horizontal="center" vertical="top" wrapText="1"/>
    </x:xf>
    <x:xf numFmtId="203" fontId="3" fillId="2" borderId="0" xfId="0" applyNumberFormat="1" applyFont="1" applyFill="1" applyBorder="1" applyAlignment="1">
      <x:alignment horizontal="center" vertical="center" wrapText="1"/>
    </x:xf>
    <x:xf numFmtId="0" fontId="0" fillId="6" borderId="0" xfId="0" applyNumberFormat="1" applyFont="1" applyFill="1" applyBorder="1" applyAlignment="1">
      <x:alignment vertical="top" wrapText="1"/>
    </x:xf>
    <x:xf numFmtId="200" fontId="11" fillId="6" borderId="0" xfId="0" applyNumberFormat="1" applyFont="1" applyFill="1" applyBorder="1" applyAlignment="1">
      <x:alignment vertical="top" wrapText="1"/>
    </x:xf>
    <x:xf numFmtId="0" fontId="7" fillId="6" borderId="0" xfId="0" applyNumberFormat="1" applyFont="1" applyFill="1" applyBorder="1" applyAlignment="1">
      <x:alignment vertical="top" wrapText="1"/>
    </x:xf>
    <x:xf numFmtId="200" fontId="7" fillId="6" borderId="0" xfId="0" applyNumberFormat="1" applyFont="1" applyFill="1" applyBorder="1" applyAlignment="1">
      <x:alignment vertical="top" wrapText="1"/>
    </x:xf>
    <x:xf numFmtId="200" fontId="7" fillId="6" borderId="0" xfId="0" applyNumberFormat="1" applyFont="1" applyFill="1" applyBorder="1" applyAlignment="1">
      <x:alignment horizontal="left" vertical="top" wrapText="1"/>
    </x:xf>
    <x:xf numFmtId="200" fontId="7" fillId="6" borderId="0" xfId="0" applyNumberFormat="1" applyFont="1" applyFill="1" applyBorder="1" applyAlignment="1">
      <x:alignment horizontal="left" vertical="center" wrapText="1"/>
    </x:xf>
    <x:xf numFmtId="200" fontId="11" fillId="2" borderId="0" xfId="0" applyNumberFormat="1" applyFont="1" applyFill="1" applyBorder="1" applyAlignment="1">
      <x:alignment vertical="top" wrapText="1"/>
    </x:xf>
    <x:xf numFmtId="200" fontId="3" fillId="2" borderId="0" xfId="0" applyNumberFormat="1" applyFont="1" applyFill="1" applyBorder="1" applyAlignment="1">
      <x:alignment vertical="top" wrapText="1"/>
    </x:xf>
    <x:xf numFmtId="200" fontId="3" fillId="2" borderId="0" xfId="0" applyNumberFormat="1" applyFont="1" applyFill="1" applyBorder="1" applyAlignment="1">
      <x:alignment horizontal="center" vertical="top" wrapText="1"/>
    </x:xf>
    <x:xf numFmtId="200" fontId="3" fillId="2" borderId="0" xfId="0" applyNumberFormat="1" applyFont="1" applyFill="1" applyBorder="1" applyAlignment="1">
      <x:alignment horizontal="center" vertical="center" wrapText="1"/>
    </x:xf>
    <x:xf numFmtId="0" fontId="16" fillId="6" borderId="0" xfId="0" applyNumberFormat="1" applyFont="1" applyFill="1" applyBorder="1" applyAlignment="1">
      <x:alignment vertical="top" wrapText="1"/>
    </x:xf>
    <x:xf numFmtId="0" fontId="16" fillId="2" borderId="0" xfId="0" applyNumberFormat="1" applyFont="1" applyFill="1" applyBorder="1" applyAlignment="1">
      <x:alignment vertical="top" wrapText="1"/>
    </x:xf>
    <x:xf numFmtId="0" fontId="6" fillId="6" borderId="0" xfId="0" applyNumberFormat="1" applyFont="1" applyFill="1" applyBorder="1" applyAlignment="1">
      <x:alignment vertical="center" wrapText="1"/>
    </x:xf>
    <x:xf numFmtId="0" fontId="0" fillId="6" borderId="0" xfId="0" applyNumberFormat="1" applyFont="1" applyFill="1" applyBorder="1" applyAlignment="1">
      <x:alignment vertical="center" wrapText="1"/>
    </x:xf>
    <x:xf numFmtId="0" fontId="7" fillId="6" borderId="0" xfId="0" applyNumberFormat="1" applyFont="1" applyFill="1" applyBorder="1" applyAlignment="1">
      <x:alignment vertical="center" wrapText="1"/>
    </x:xf>
    <x:xf numFmtId="0" fontId="6" fillId="9" borderId="0" xfId="0" applyNumberFormat="1" applyFont="1" applyFill="1" applyBorder="1" applyAlignment="1">
      <x:alignment vertical="center" wrapText="1"/>
    </x:xf>
    <x:xf numFmtId="0" fontId="0" fillId="9" borderId="0" xfId="0" applyNumberFormat="1" applyFont="1" applyFill="1" applyBorder="1" applyAlignment="1">
      <x:alignment vertical="center" wrapText="1"/>
    </x:xf>
    <x:xf numFmtId="0" fontId="13" fillId="9" borderId="0" xfId="0" applyNumberFormat="1" applyFont="1" applyFill="1" applyBorder="1" applyAlignment="1">
      <x:alignment vertical="center" wrapText="1"/>
    </x:xf>
    <x:xf numFmtId="0" fontId="3" fillId="9" borderId="0" xfId="0" applyNumberFormat="1" applyFont="1" applyFill="1" applyBorder="1" applyAlignment="1">
      <x:alignment horizontal="center" vertical="center" wrapText="1"/>
    </x:xf>
    <x:xf numFmtId="0" fontId="3" fillId="9" borderId="0" xfId="0" applyNumberFormat="1" applyFont="1" applyFill="1" applyBorder="1" applyAlignment="1">
      <x:alignment horizontal="center" vertical="top" wrapText="1"/>
    </x:xf>
    <x:xf numFmtId="0" fontId="6" fillId="9" borderId="0" xfId="0" applyNumberFormat="1" applyFont="1" applyFill="1" applyBorder="1" applyAlignment="1">
      <x:alignment vertical="top"/>
    </x:xf>
    <x:xf numFmtId="0" fontId="6" fillId="9" borderId="0" xfId="0" applyNumberFormat="1" applyFont="1" applyFill="1" applyBorder="1" applyAlignment="1">
      <x:alignment horizontal="center" vertical="center" wrapText="1"/>
    </x:xf>
    <x:xf numFmtId="0" fontId="6" fillId="9" borderId="0" xfId="0" applyNumberFormat="1" applyFont="1" applyFill="1" applyBorder="1" applyAlignment="1">
      <x:alignment horizontal="center" vertical="top" wrapText="1"/>
    </x:xf>
    <x:xf numFmtId="0" fontId="6" fillId="9" borderId="0" xfId="0" applyNumberFormat="1" applyFont="1" applyFill="1" applyBorder="1" applyAlignment="1">
      <x:alignment vertical="top" wrapText="1"/>
    </x:xf>
    <x:xf numFmtId="205" fontId="11" fillId="6" borderId="0" xfId="0" applyNumberFormat="1" applyFont="1" applyFill="1" applyBorder="1" applyAlignment="1">
      <x:alignment vertical="top"/>
    </x:xf>
    <x:xf numFmtId="205" fontId="7" fillId="6" borderId="0" xfId="0" applyNumberFormat="1" applyFont="1" applyFill="1" applyBorder="1" applyAlignment="1">
      <x:alignment vertical="top"/>
    </x:xf>
    <x:xf numFmtId="205" fontId="7" fillId="6" borderId="0" xfId="0" applyNumberFormat="1" applyFont="1" applyFill="1" applyBorder="1" applyAlignment="1">
      <x:alignment horizontal="left" vertical="top"/>
    </x:xf>
    <x:xf numFmtId="205" fontId="7" fillId="6" borderId="0" xfId="0" applyNumberFormat="1" applyFont="1" applyFill="1" applyBorder="1" applyAlignment="1">
      <x:alignment horizontal="left" vertical="center"/>
    </x:xf>
    <x:xf numFmtId="0" fontId="0" fillId="12" borderId="0" xfId="0" applyNumberFormat="1" applyFont="1" applyFill="1" applyBorder="1" applyAlignment="1">
      <x:alignment vertical="top"/>
    </x:xf>
    <x:xf numFmtId="0" fontId="3" fillId="12" borderId="0" xfId="0" applyNumberFormat="1" applyFont="1" applyFill="1" applyBorder="1" applyAlignment="1">
      <x:alignment vertical="top"/>
    </x:xf>
    <x:xf numFmtId="0" fontId="3" fillId="12" borderId="0" xfId="0" applyNumberFormat="1" applyFont="1" applyFill="1" applyBorder="1" applyAlignment="1">
      <x:alignment vertical="top" wrapText="1"/>
    </x:xf>
    <x:xf numFmtId="0" fontId="1" fillId="22" borderId="0" xfId="0" applyNumberFormat="1" applyFont="1" applyFill="1" applyBorder="1" applyAlignment="1">
      <x:alignment horizontal="left" vertical="center"/>
    </x:xf>
    <x:xf numFmtId="0" fontId="2" fillId="23" borderId="0" xfId="0" applyNumberFormat="1" applyFont="1" applyFill="1" applyBorder="1" applyAlignment="1">
      <x:alignment vertical="center" wrapText="1"/>
    </x:xf>
    <x:xf numFmtId="0" fontId="6" fillId="23" borderId="0" xfId="0" applyNumberFormat="1" applyFont="1" applyFill="1" applyBorder="1" applyAlignment="1">
      <x:alignment horizontal="left" vertical="center" wrapText="1"/>
    </x:xf>
    <x:xf numFmtId="0" fontId="16" fillId="23" borderId="0" xfId="0" applyNumberFormat="1" applyFont="1" applyFill="1" applyBorder="1" applyAlignment="1">
      <x:alignment vertical="center" wrapText="1"/>
    </x:xf>
    <x:xf numFmtId="0" fontId="20" fillId="23" borderId="0" xfId="0" applyNumberFormat="1" applyFont="1" applyFill="1" applyBorder="1" applyAlignment="1">
      <x:alignment horizontal="left" vertical="center" wrapText="1"/>
    </x:xf>
    <x:xf numFmtId="0" fontId="20" fillId="23" borderId="0" xfId="0" applyNumberFormat="1" applyFont="1" applyFill="1" applyBorder="1" applyAlignment="1">
      <x:alignment vertical="center" wrapText="1"/>
    </x:xf>
    <x:xf numFmtId="0" fontId="7" fillId="24" borderId="0" xfId="0" applyNumberFormat="1" applyFont="1" applyFill="1" applyBorder="1" applyAlignment="1">
      <x:alignment horizontal="left" vertical="center" wrapText="1"/>
    </x:xf>
    <x:xf numFmtId="0" fontId="7" fillId="24" borderId="0" xfId="0" applyNumberFormat="1" applyFont="1" applyFill="1" applyBorder="1" applyAlignment="1">
      <x:alignment horizontal="left" vertical="center"/>
    </x:xf>
    <x:xf numFmtId="0" fontId="3" fillId="22" borderId="0" xfId="0" applyNumberFormat="1" applyFont="1" applyFill="1" applyBorder="1" applyAlignment="1">
      <x:alignment horizontal="center" vertical="center" wrapText="1"/>
    </x:xf>
    <x:xf numFmtId="205" fontId="3" fillId="22" borderId="0" xfId="0" applyNumberFormat="1" applyFont="1" applyFill="1" applyBorder="1" applyAlignment="1">
      <x:alignment horizontal="center" vertical="center" wrapText="1"/>
    </x:xf>
    <x:xf numFmtId="203" fontId="3" fillId="22" borderId="0" xfId="0" applyNumberFormat="1" applyFont="1" applyFill="1" applyBorder="1" applyAlignment="1">
      <x:alignment horizontal="center" vertical="center" wrapText="1"/>
    </x:xf>
    <x:xf numFmtId="200" fontId="7" fillId="24" borderId="0" xfId="0" applyNumberFormat="1" applyFont="1" applyFill="1" applyBorder="1" applyAlignment="1">
      <x:alignment horizontal="left" vertical="center" wrapText="1"/>
    </x:xf>
    <x:xf numFmtId="200" fontId="3" fillId="22" borderId="0" xfId="0" applyNumberFormat="1" applyFont="1" applyFill="1" applyBorder="1" applyAlignment="1">
      <x:alignment horizontal="center" vertical="center" wrapText="1"/>
    </x:xf>
    <x:xf numFmtId="0" fontId="13" fillId="25" borderId="0" xfId="0" applyNumberFormat="1" applyFont="1" applyFill="1" applyBorder="1" applyAlignment="1">
      <x:alignment vertical="top" wrapText="1"/>
    </x:xf>
    <x:xf numFmtId="205" fontId="14" fillId="25" borderId="0" xfId="0" applyNumberFormat="1" applyFont="1" applyFill="1" applyBorder="1" applyAlignment="1">
      <x:alignment vertical="top" wrapText="1"/>
    </x:xf>
    <x:xf numFmtId="205" fontId="13" fillId="25" borderId="0" xfId="0" applyNumberFormat="1" applyFont="1" applyFill="1" applyBorder="1" applyAlignment="1">
      <x:alignment vertical="top" wrapText="1"/>
    </x:xf>
    <x:xf numFmtId="0" fontId="6" fillId="26" borderId="0" xfId="0" applyNumberFormat="1" applyFont="1" applyFill="1" applyBorder="1" applyAlignment="1">
      <x:alignment vertical="center" wrapText="1"/>
    </x:xf>
    <x:xf numFmtId="0" fontId="0" fillId="24" borderId="0" xfId="0" applyNumberFormat="1" applyFont="1" applyFill="1" applyBorder="1" applyAlignment="1">
      <x:alignment vertical="top"/>
    </x:xf>
    <x:xf numFmtId="205" fontId="11" fillId="24" borderId="0" xfId="0" applyNumberFormat="1" applyFont="1" applyFill="1" applyBorder="1" applyAlignment="1">
      <x:alignment vertical="top"/>
    </x:xf>
    <x:xf numFmtId="0" fontId="7" fillId="24" borderId="0" xfId="0" applyNumberFormat="1" applyFont="1" applyFill="1" applyBorder="1" applyAlignment="1">
      <x:alignment vertical="top"/>
    </x:xf>
    <x:xf numFmtId="205" fontId="7" fillId="24" borderId="0" xfId="0" applyNumberFormat="1" applyFont="1" applyFill="1" applyBorder="1" applyAlignment="1">
      <x:alignment vertical="top"/>
    </x:xf>
    <x:xf numFmtId="0" fontId="7" fillId="24" borderId="0" xfId="0" applyNumberFormat="1" applyFont="1" applyFill="1" applyBorder="1" applyAlignment="1">
      <x:alignment vertical="top" wrapText="1"/>
    </x:xf>
    <x:xf numFmtId="205" fontId="7" fillId="24" borderId="0" xfId="0" applyNumberFormat="1" applyFont="1" applyFill="1" applyBorder="1" applyAlignment="1">
      <x:alignment vertical="top" wrapText="1"/>
    </x:xf>
    <x:xf numFmtId="0" fontId="7" fillId="24" borderId="0" xfId="0" applyNumberFormat="1" applyFont="1" applyFill="1" applyBorder="1" applyAlignment="1">
      <x:alignment vertical="center" wrapText="1"/>
    </x:xf>
    <x:xf numFmtId="205" fontId="7" fillId="24" borderId="0" xfId="0" applyNumberFormat="1" applyFont="1" applyFill="1" applyBorder="1" applyAlignment="1">
      <x:alignment vertical="center" wrapText="1"/>
    </x:xf>
    <x:xf numFmtId="0" fontId="7" fillId="27" borderId="0" xfId="0" applyNumberFormat="1" applyFont="1" applyFill="1" applyBorder="1" applyAlignment="1">
      <x:alignment horizontal="left" vertical="center"/>
    </x:xf>
    <x:xf numFmtId="205" fontId="7" fillId="27" borderId="0" xfId="0" applyNumberFormat="1" applyFont="1" applyFill="1" applyBorder="1" applyAlignment="1">
      <x:alignment horizontal="left" vertical="center"/>
    </x:xf>
    <x:xf numFmtId="0" fontId="6" fillId="27" borderId="0" xfId="0" applyNumberFormat="1" applyFont="1" applyFill="1" applyBorder="1" applyAlignment="1">
      <x:alignment horizontal="left" vertical="center"/>
    </x:xf>
    <x:xf numFmtId="205" fontId="6" fillId="27" borderId="0" xfId="0" applyNumberFormat="1" applyFont="1" applyFill="1" applyBorder="1" applyAlignment="1">
      <x:alignment horizontal="left" vertical="center"/>
    </x:xf>
    <x:xf numFmtId="0" fontId="6" fillId="27" borderId="0" xfId="0" applyNumberFormat="1" applyFont="1" applyFill="1" applyBorder="1" applyAlignment="1">
      <x:alignment horizontal="left" vertical="center" wrapText="1"/>
    </x:xf>
    <x:xf numFmtId="205" fontId="6" fillId="27" borderId="0" xfId="0" applyNumberFormat="1" applyFont="1" applyFill="1" applyBorder="1" applyAlignment="1">
      <x:alignment horizontal="left" vertical="center" wrapText="1"/>
    </x:xf>
    <x:xf numFmtId="0" fontId="6" fillId="27" borderId="0" xfId="0" applyNumberFormat="1" applyFont="1" applyFill="1" applyBorder="1" applyAlignment="1">
      <x:alignment vertical="top" wrapText="1"/>
    </x:xf>
    <x:xf numFmtId="205" fontId="11" fillId="27" borderId="0" xfId="0" applyNumberFormat="1" applyFont="1" applyFill="1" applyBorder="1" applyAlignment="1">
      <x:alignment vertical="top" wrapText="1"/>
    </x:xf>
    <x:xf numFmtId="205" fontId="6" fillId="27" borderId="0" xfId="0" applyNumberFormat="1" applyFont="1" applyFill="1" applyBorder="1" applyAlignment="1">
      <x:alignment vertical="top" wrapText="1"/>
    </x:xf>
    <x:xf numFmtId="0" fontId="6" fillId="27" borderId="0" xfId="0" applyNumberFormat="1" applyFont="1" applyFill="1" applyBorder="1" applyAlignment="1">
      <x:alignment vertical="center" wrapText="1"/>
    </x:xf>
    <x:xf numFmtId="205" fontId="6" fillId="27" borderId="0" xfId="0" applyNumberFormat="1" applyFont="1" applyFill="1" applyBorder="1" applyAlignment="1">
      <x:alignment vertical="center" wrapText="1"/>
    </x:xf>
    <x:xf numFmtId="0" fontId="0" fillId="27" borderId="0" xfId="0" applyNumberFormat="1" applyFont="1" applyFill="1" applyBorder="1" applyAlignment="1">
      <x:alignment vertical="top" wrapText="1"/>
    </x:xf>
    <x:xf numFmtId="0" fontId="0" fillId="28" borderId="0" xfId="0" applyNumberFormat="1" applyFont="1" applyFill="1" applyBorder="1" applyAlignment="1">
      <x:alignment vertical="top"/>
    </x:xf>
    <x:xf numFmtId="0" fontId="3" fillId="28" borderId="0" xfId="0" applyNumberFormat="1" applyFont="1" applyFill="1" applyBorder="1" applyAlignment="1">
      <x:alignment vertical="top"/>
    </x:xf>
    <x:xf numFmtId="0" fontId="3" fillId="28" borderId="0" xfId="0" applyNumberFormat="1" applyFont="1" applyFill="1" applyBorder="1" applyAlignment="1">
      <x:alignment vertical="top" wrapText="1"/>
    </x:xf>
    <x:xf numFmtId="0" fontId="3" fillId="28" borderId="0" xfId="0" applyNumberFormat="1" applyFont="1" applyFill="1" applyBorder="1" applyAlignment="1">
      <x:alignment horizontal="center" vertical="top" wrapText="1"/>
    </x:xf>
    <x:xf numFmtId="0" fontId="3" fillId="28" borderId="0" xfId="0" applyNumberFormat="1" applyFont="1" applyFill="1" applyBorder="1" applyAlignment="1">
      <x:alignment horizontal="center" vertical="center" wrapText="1"/>
    </x:xf>
    <x:xf numFmtId="205" fontId="3" fillId="12" borderId="0" xfId="0" applyNumberFormat="1" applyFont="1" applyFill="1" applyBorder="1" applyAlignment="1">
      <x:alignment horizontal="center" vertical="center" wrapText="1"/>
    </x:xf>
    <x:xf numFmtId="205" fontId="21" fillId="12" borderId="0" xfId="0" applyNumberFormat="1" applyFont="1" applyFill="1" applyBorder="1" applyAlignment="1">
      <x:alignment horizontal="center" vertical="center" wrapText="1"/>
    </x:xf>
    <x:xf numFmtId="0" fontId="8" fillId="29" borderId="0" xfId="0" applyNumberFormat="1" applyFont="1" applyFill="1" applyBorder="1" applyAlignment="1">
      <x:alignment vertical="top" wrapText="1"/>
    </x:xf>
    <x:xf numFmtId="0" fontId="4" fillId="29" borderId="0" xfId="0" applyNumberFormat="1" applyFont="1" applyFill="1" applyBorder="1" applyAlignment="1">
      <x:alignment vertical="top" wrapText="1"/>
    </x:xf>
    <x:xf numFmtId="203" fontId="4" fillId="29" borderId="0" xfId="0" applyNumberFormat="1" applyFont="1" applyFill="1" applyBorder="1" applyAlignment="1">
      <x:alignment vertical="top" wrapText="1"/>
    </x:xf>
    <x:xf numFmtId="202" fontId="4" fillId="29" borderId="0" xfId="0" applyNumberFormat="1" applyFont="1" applyFill="1" applyBorder="1" applyAlignment="1">
      <x:alignment vertical="top" wrapText="1"/>
    </x:xf>
    <x:xf numFmtId="203" fontId="14" fillId="29" borderId="0" xfId="0" applyNumberFormat="1" applyFont="1" applyFill="1" applyBorder="1" applyAlignment="1">
      <x:alignment vertical="top" wrapText="1"/>
    </x:xf>
    <x:xf numFmtId="0" fontId="8" fillId="30" borderId="0" xfId="0" applyNumberFormat="1" applyFont="1" applyFill="1" applyBorder="1" applyAlignment="1">
      <x:alignment vertical="top" wrapText="1"/>
    </x:xf>
    <x:xf numFmtId="203" fontId="8" fillId="30" borderId="0" xfId="0" applyNumberFormat="1" applyFont="1" applyFill="1" applyBorder="1" applyAlignment="1">
      <x:alignment vertical="top" wrapText="1"/>
    </x:xf>
    <x:xf numFmtId="202" fontId="8" fillId="30" borderId="0" xfId="0" applyNumberFormat="1" applyFont="1" applyFill="1" applyBorder="1" applyAlignment="1">
      <x:alignment vertical="top" wrapText="1"/>
    </x:xf>
    <x:xf numFmtId="203" fontId="14" fillId="30" borderId="0" xfId="0" applyNumberFormat="1" applyFont="1" applyFill="1" applyBorder="1" applyAlignment="1">
      <x:alignment vertical="top" wrapText="1"/>
    </x:xf>
    <x:xf numFmtId="0" fontId="8" fillId="30" borderId="0" xfId="0" applyNumberFormat="1" applyFont="1" applyFill="1" applyBorder="1" applyAlignment="1">
      <x:alignment vertical="center" wrapText="1"/>
    </x:xf>
    <x:xf numFmtId="203" fontId="8" fillId="30" borderId="0" xfId="0" applyNumberFormat="1" applyFont="1" applyFill="1" applyBorder="1" applyAlignment="1">
      <x:alignment vertical="center" wrapText="1"/>
    </x:xf>
    <x:xf numFmtId="202" fontId="8" fillId="30" borderId="0" xfId="0" applyNumberFormat="1" applyFont="1" applyFill="1" applyBorder="1" applyAlignment="1">
      <x:alignment vertical="center" wrapText="1"/>
    </x:xf>
    <x:xf numFmtId="203" fontId="14" fillId="30" borderId="0" xfId="0" applyNumberFormat="1" applyFont="1" applyFill="1" applyBorder="1" applyAlignment="1">
      <x:alignment vertical="center" wrapText="1"/>
    </x:xf>
    <x:xf numFmtId="0" fontId="0" fillId="22" borderId="0" xfId="0" applyNumberFormat="1" applyFont="1" applyFill="1" applyBorder="1"/>
    <x:xf numFmtId="0" fontId="3" fillId="22" borderId="0" xfId="0" applyNumberFormat="1" applyFont="1" applyFill="1" applyBorder="1"/>
    <x:xf numFmtId="0" fontId="3" fillId="22" borderId="0" xfId="0" applyNumberFormat="1" applyFont="1" applyFill="1" applyBorder="1" applyAlignment="1">
      <x:alignment wrapText="1"/>
    </x:xf>
    <x:xf numFmtId="0" fontId="3" fillId="22" borderId="0" xfId="0" applyNumberFormat="1" applyFont="1" applyFill="1" applyBorder="1" applyAlignment="1">
      <x:alignment horizontal="center" wrapText="1"/>
    </x:xf>
    <x:xf numFmtId="203" fontId="9" fillId="0" borderId="0" xfId="0" applyNumberFormat="1" applyFont="1" applyFill="1" applyBorder="1" applyAlignment="1">
      <x:alignment vertical="center" wrapText="1"/>
    </x:xf>
    <x:xf numFmtId="203" fontId="0" fillId="0" borderId="0" xfId="0" applyNumberFormat="1" applyFont="1" applyFill="1" applyBorder="1" applyAlignment="1">
      <x:alignment vertical="center" wrapText="1"/>
    </x:xf>
    <x:xf numFmtId="203" fontId="11" fillId="0" borderId="0" xfId="0" applyNumberFormat="1" applyFont="1" applyFill="1" applyBorder="1" applyAlignment="1">
      <x:alignment vertical="center" wrapText="1"/>
    </x:xf>
    <x:xf numFmtId="203" fontId="14" fillId="9" borderId="0" xfId="0" applyNumberFormat="1" applyFont="1" applyFill="1" applyBorder="1" applyAlignment="1">
      <x:alignment vertical="center" wrapText="1"/>
    </x:xf>
    <x:xf numFmtId="0" fontId="8" fillId="26" borderId="0" xfId="0" applyNumberFormat="1" applyFont="1" applyFill="1" applyBorder="1" applyAlignment="1">
      <x:alignment vertical="center" wrapText="1"/>
    </x:xf>
    <x:xf numFmtId="203" fontId="8" fillId="26" borderId="0" xfId="0" applyNumberFormat="1" applyFont="1" applyFill="1" applyBorder="1" applyAlignment="1">
      <x:alignment vertical="center" wrapText="1"/>
    </x:xf>
    <x:xf numFmtId="203" fontId="14" fillId="26" borderId="0" xfId="0" applyNumberFormat="1" applyFont="1" applyFill="1" applyBorder="1" applyAlignment="1">
      <x:alignment vertical="center" wrapText="1"/>
    </x:xf>
    <x:xf numFmtId="0" fontId="0" fillId="26" borderId="0" xfId="0" applyNumberFormat="1" applyFont="1" applyFill="1" applyBorder="1" applyAlignment="1">
      <x:alignment vertical="center" wrapText="1"/>
    </x:xf>
    <x:xf numFmtId="0" fontId="0" fillId="22" borderId="0" xfId="0" applyNumberFormat="1" applyFont="1" applyFill="1" applyBorder="1" applyAlignment="1">
      <x:alignment wrapText="1"/>
    </x:xf>
    <x:xf numFmtId="0" fontId="20" fillId="3" borderId="0" xfId="0" applyNumberFormat="1" applyFont="1" applyFill="1" applyBorder="1" applyAlignment="1">
      <x:alignment horizontal="left" vertical="center" wrapText="1"/>
    </x:xf>
    <x:xf numFmtId="0" fontId="20" fillId="3" borderId="0" xfId="0" applyNumberFormat="1" applyFont="1" applyFill="1" applyBorder="1" applyAlignment="1">
      <x:alignment vertical="center" wrapText="1"/>
    </x:xf>
    <x:xf numFmtId="205" fontId="7" fillId="6" borderId="0" xfId="0" applyNumberFormat="1" applyFont="1" applyFill="1" applyBorder="1" applyAlignment="1">
      <x:alignment vertical="top" wrapText="1"/>
    </x:xf>
    <x:xf numFmtId="205" fontId="7" fillId="6" borderId="0" xfId="0" applyNumberFormat="1" applyFont="1" applyFill="1" applyBorder="1" applyAlignment="1">
      <x:alignment vertical="center" wrapText="1"/>
    </x:xf>
    <x:xf numFmtId="0" fontId="7" fillId="5" borderId="0" xfId="0" applyNumberFormat="1" applyFont="1" applyFill="1" applyBorder="1" applyAlignment="1">
      <x:alignment horizontal="left" vertical="center"/>
    </x:xf>
    <x:xf numFmtId="205" fontId="7" fillId="5" borderId="0" xfId="0" applyNumberFormat="1" applyFont="1" applyFill="1" applyBorder="1" applyAlignment="1">
      <x:alignment horizontal="left" vertical="center"/>
    </x:xf>
    <x:xf numFmtId="0" fontId="6" fillId="5" borderId="0" xfId="0" applyNumberFormat="1" applyFont="1" applyFill="1" applyBorder="1" applyAlignment="1">
      <x:alignment horizontal="left" vertical="center"/>
    </x:xf>
    <x:xf numFmtId="205" fontId="6" fillId="5" borderId="0" xfId="0" applyNumberFormat="1" applyFont="1" applyFill="1" applyBorder="1" applyAlignment="1">
      <x:alignment horizontal="left" vertical="center"/>
    </x:xf>
    <x:xf numFmtId="0" fontId="6" fillId="5" borderId="0" xfId="0" applyNumberFormat="1" applyFont="1" applyFill="1" applyBorder="1" applyAlignment="1">
      <x:alignment horizontal="left" vertical="center" wrapText="1"/>
    </x:xf>
    <x:xf numFmtId="205" fontId="6" fillId="5" borderId="0" xfId="0" applyNumberFormat="1" applyFont="1" applyFill="1" applyBorder="1" applyAlignment="1">
      <x:alignment horizontal="left" vertical="center" wrapText="1"/>
    </x:xf>
    <x:xf numFmtId="205" fontId="6" fillId="5" borderId="0" xfId="0" applyNumberFormat="1" applyFont="1" applyFill="1" applyBorder="1" applyAlignment="1">
      <x:alignment vertical="top" wrapText="1"/>
    </x:xf>
    <x:xf numFmtId="205" fontId="6" fillId="5" borderId="0" xfId="0" applyNumberFormat="1" applyFont="1" applyFill="1" applyBorder="1" applyAlignment="1">
      <x:alignment vertical="center" wrapText="1"/>
    </x:xf>
    <x:xf numFmtId="0" fontId="8" fillId="4" borderId="0" xfId="0" applyNumberFormat="1" applyFont="1" applyFill="1" applyBorder="1" applyAlignment="1">
      <x:alignment vertical="top" wrapText="1"/>
    </x:xf>
    <x:xf numFmtId="203" fontId="4" fillId="4" borderId="0" xfId="0" applyNumberFormat="1" applyFont="1" applyFill="1" applyBorder="1" applyAlignment="1">
      <x:alignment vertical="top" wrapText="1"/>
    </x:xf>
    <x:xf numFmtId="202" fontId="4" fillId="4" borderId="0" xfId="0" applyNumberFormat="1" applyFont="1" applyFill="1" applyBorder="1" applyAlignment="1">
      <x:alignment vertical="top" wrapText="1"/>
    </x:xf>
    <x:xf numFmtId="203" fontId="14" fillId="4" borderId="0" xfId="0" applyNumberFormat="1" applyFont="1" applyFill="1" applyBorder="1" applyAlignment="1">
      <x:alignment vertical="top" wrapText="1"/>
    </x:xf>
    <x:xf numFmtId="0" fontId="0" fillId="2" borderId="0" xfId="0" applyNumberFormat="1" applyFont="1" applyFill="1" applyBorder="1" applyAlignment="1">
      <x:alignment wrapText="1"/>
    </x:xf>
    <x:xf numFmtId="0" fontId="5" fillId="31" borderId="0" xfId="0" applyNumberFormat="1" applyFont="1" applyFill="1" applyBorder="1" applyAlignment="1">
      <x:alignment vertical="top" wrapText="1"/>
    </x:xf>
    <x:xf numFmtId="0" fontId="9" fillId="31" borderId="0" xfId="0" applyNumberFormat="1" applyFont="1" applyFill="1" applyBorder="1" applyAlignment="1">
      <x:alignment vertical="top" wrapText="1"/>
    </x:xf>
    <x:xf numFmtId="0" fontId="9" fillId="32" borderId="0" xfId="0" applyNumberFormat="1" applyFont="1" applyFill="1" applyBorder="1" applyAlignment="1">
      <x:alignment vertical="top" wrapText="1"/>
    </x:xf>
    <x:xf numFmtId="208" fontId="5" fillId="31" borderId="0" xfId="0" applyNumberFormat="1" applyFont="1" applyFill="1" applyBorder="1" applyAlignment="1">
      <x:alignment vertical="top" wrapText="1"/>
    </x:xf>
    <x:xf numFmtId="209" fontId="5" fillId="31" borderId="0" xfId="0" applyNumberFormat="1" applyFont="1" applyFill="1" applyBorder="1" applyAlignment="1">
      <x:alignment vertical="top" wrapText="1"/>
    </x:xf>
    <x:xf numFmtId="207" fontId="5" fillId="31" borderId="0" xfId="0" applyNumberFormat="1" applyFont="1" applyFill="1" applyBorder="1" applyAlignment="1">
      <x:alignment vertical="top" wrapText="1"/>
    </x:xf>
    <x:xf numFmtId="203" fontId="5" fillId="31" borderId="0" xfId="0" applyNumberFormat="1" applyFont="1" applyFill="1" applyBorder="1" applyAlignment="1">
      <x:alignment vertical="top" wrapText="1"/>
    </x:xf>
    <x:xf numFmtId="0" fontId="0" fillId="32" borderId="0" xfId="0" applyNumberFormat="1" applyFont="1" applyFill="1" applyBorder="1" applyAlignment="1">
      <x:alignment vertical="top" wrapText="1"/>
    </x:xf>
    <x:xf numFmtId="0" fontId="6" fillId="32" borderId="0" xfId="0" applyNumberFormat="1" applyFont="1" applyFill="1" applyBorder="1" applyAlignment="1">
      <x:alignment vertical="top" wrapText="1"/>
    </x:xf>
    <x:xf numFmtId="203" fontId="5" fillId="32" borderId="0" xfId="0" applyNumberFormat="1" applyFont="1" applyFill="1" applyBorder="1" applyAlignment="1">
      <x:alignment vertical="top" wrapText="1"/>
    </x:xf>
    <x:xf numFmtId="208" fontId="5" fillId="32" borderId="0" xfId="0" applyNumberFormat="1" applyFont="1" applyFill="1" applyBorder="1" applyAlignment="1">
      <x:alignment vertical="top" wrapText="1"/>
    </x:xf>
    <x:xf numFmtId="0" fontId="4" fillId="31" borderId="0" xfId="0" applyNumberFormat="1" applyFont="1" applyFill="1" applyBorder="1" applyAlignment="1">
      <x:alignment vertical="top" wrapText="1"/>
    </x:xf>
    <x:xf numFmtId="0" fontId="0" fillId="31" borderId="0" xfId="0" applyNumberFormat="1" applyFont="1" applyFill="1" applyBorder="1" applyAlignment="1">
      <x:alignment vertical="top" wrapText="1"/>
    </x:xf>
    <x:xf numFmtId="0" fontId="0" fillId="33" borderId="0" xfId="0" applyNumberFormat="1" applyFont="1" applyFill="1" applyBorder="1"/>
    <x:xf numFmtId="0" fontId="1" fillId="33" borderId="0" xfId="0" applyNumberFormat="1" applyFont="1" applyFill="1" applyBorder="1"/>
    <x:xf numFmtId="0" fontId="1" fillId="33" borderId="0" xfId="0" applyNumberFormat="1" applyFont="1" applyFill="1" applyBorder="1" applyAlignment="1">
      <x:alignment vertical="center"/>
    </x:xf>
    <x:xf numFmtId="0" fontId="0" fillId="34" borderId="0" xfId="0" applyNumberFormat="1" applyFont="1" applyFill="1" applyBorder="1"/>
    <x:xf numFmtId="0" fontId="2" fillId="34" borderId="0" xfId="0" applyNumberFormat="1" applyFont="1" applyFill="1" applyBorder="1"/>
    <x:xf numFmtId="0" fontId="2" fillId="34" borderId="0" xfId="0" applyNumberFormat="1" applyFont="1" applyFill="1" applyBorder="1" applyAlignment="1">
      <x:alignment wrapText="1"/>
    </x:xf>
    <x:xf numFmtId="0" fontId="2" fillId="34" borderId="0" xfId="0" applyNumberFormat="1" applyFont="1" applyFill="1" applyBorder="1" applyAlignment="1">
      <x:alignment vertical="center" wrapText="1"/>
    </x:xf>
    <x:xf numFmtId="0" fontId="0" fillId="35" borderId="0" xfId="0" applyNumberFormat="1" applyFont="1" applyFill="1" applyBorder="1"/>
    <x:xf numFmtId="0" fontId="7" fillId="35" borderId="0" xfId="0" applyNumberFormat="1" applyFont="1" applyFill="1" applyBorder="1"/>
    <x:xf numFmtId="0" fontId="7" fillId="35" borderId="0" xfId="0" applyNumberFormat="1" applyFont="1" applyFill="1" applyBorder="1" applyAlignment="1">
      <x:alignment wrapText="1"/>
    </x:xf>
    <x:xf numFmtId="0" fontId="7" fillId="35" borderId="0" xfId="0" applyNumberFormat="1" applyFont="1" applyFill="1" applyBorder="1" applyAlignment="1">
      <x:alignment vertical="center" wrapText="1"/>
    </x:xf>
    <x:xf numFmtId="0" fontId="22" fillId="33" borderId="0" xfId="0" applyNumberFormat="1" applyFont="1" applyFill="1" applyBorder="1"/>
    <x:xf numFmtId="0" fontId="22" fillId="33" borderId="0" xfId="0" applyNumberFormat="1" applyFont="1" applyFill="1" applyBorder="1" applyAlignment="1">
      <x:alignment wrapText="1"/>
    </x:xf>
    <x:xf numFmtId="0" fontId="22" fillId="33" borderId="0" xfId="0" applyNumberFormat="1" applyFont="1" applyFill="1" applyBorder="1" applyAlignment="1">
      <x:alignment horizontal="center" wrapText="1"/>
    </x:xf>
    <x:xf numFmtId="0" fontId="22" fillId="33" borderId="0" xfId="0" applyNumberFormat="1" applyFont="1" applyFill="1" applyBorder="1" applyAlignment="1">
      <x:alignment horizontal="center" vertical="center" wrapText="1"/>
    </x:xf>
    <x:xf numFmtId="203" fontId="5" fillId="31" borderId="0" xfId="0" applyNumberFormat="1" applyFont="1" applyFill="1" applyBorder="1"/>
    <x:xf numFmtId="0" fontId="0" fillId="36" borderId="0" xfId="0" applyNumberFormat="1" applyFont="1" applyFill="1" applyBorder="1" applyAlignment="1">
      <x:alignment wrapText="1"/>
    </x:xf>
    <x:xf numFmtId="200" fontId="11" fillId="36" borderId="0" xfId="0" applyNumberFormat="1" applyFont="1" applyFill="1" applyBorder="1" applyAlignment="1">
      <x:alignment wrapText="1"/>
    </x:xf>
    <x:xf numFmtId="202" fontId="11" fillId="36" borderId="0" xfId="0" applyNumberFormat="1" applyFont="1" applyFill="1" applyBorder="1" applyAlignment="1">
      <x:alignment wrapText="1"/>
    </x:xf>
    <x:xf numFmtId="205" fontId="11" fillId="36" borderId="0" xfId="0" applyNumberFormat="1" applyFont="1" applyFill="1" applyBorder="1" applyAlignment="1">
      <x:alignment wrapText="1"/>
    </x:xf>
    <x:xf numFmtId="0" fontId="11" fillId="36" borderId="0" xfId="0" applyNumberFormat="1" applyFont="1" applyFill="1" applyBorder="1" applyAlignment="1">
      <x:alignment wrapText="1"/>
    </x:xf>
    <x:xf numFmtId="203" fontId="5" fillId="31" borderId="0" xfId="0" applyNumberFormat="1" applyFont="1" applyFill="1" applyBorder="1" applyAlignment="1">
      <x:alignment wrapText="1"/>
    </x:xf>
    <x:xf numFmtId="0" fontId="0" fillId="32" borderId="0" xfId="0" applyNumberFormat="1" applyFont="1" applyFill="1" applyBorder="1"/>
    <x:xf numFmtId="0" fontId="6" fillId="32" borderId="0" xfId="0" applyNumberFormat="1" applyFont="1" applyFill="1" applyBorder="1"/>
    <x:xf numFmtId="0" fontId="6" fillId="32" borderId="0" xfId="0" applyNumberFormat="1" applyFont="1" applyFill="1" applyBorder="1" applyAlignment="1">
      <x:alignment wrapText="1"/>
    </x:xf>
    <x:xf numFmtId="0" fontId="0" fillId="32" borderId="0" xfId="0" applyNumberFormat="1" applyFont="1" applyFill="1" applyBorder="1" applyAlignment="1">
      <x:alignment wrapText="1"/>
    </x:xf>
    <x:xf numFmtId="0" fontId="6" fillId="32" borderId="0" xfId="0" applyNumberFormat="1" applyFont="1" applyFill="1" applyBorder="1" applyAlignment="1">
      <x:alignment vertical="center" wrapText="1"/>
    </x:xf>
    <x:xf numFmtId="209" fontId="5" fillId="0" borderId="0" xfId="0" applyNumberFormat="1" applyFont="1" applyFill="1" applyBorder="1"/>
    <x:xf numFmtId="202" fontId="5" fillId="31" borderId="0" xfId="0" applyNumberFormat="1" applyFont="1" applyFill="1" applyBorder="1"/>
    <x:xf numFmtId="209" fontId="5" fillId="31" borderId="0" xfId="0" applyNumberFormat="1" applyFont="1" applyFill="1" applyBorder="1"/>
    <x:xf numFmtId="202" fontId="5" fillId="31" borderId="0" xfId="0" applyNumberFormat="1" applyFont="1" applyFill="1" applyBorder="1" applyAlignment="1">
      <x:alignment wrapText="1"/>
    </x:xf>
    <x:xf numFmtId="209" fontId="5" fillId="31" borderId="0" xfId="0" applyNumberFormat="1" applyFont="1" applyFill="1" applyBorder="1" applyAlignment="1">
      <x:alignment wrapText="1"/>
    </x:xf>
    <x:xf numFmtId="211" fontId="0" fillId="0" borderId="0" xfId="0" applyNumberFormat="1" applyFont="1" applyFill="1" applyBorder="1"/>
    <x:xf numFmtId="211" fontId="5" fillId="0" borderId="0" xfId="0" applyNumberFormat="1" applyFont="1" applyFill="1" applyBorder="1"/>
    <x:xf numFmtId="0" fontId="6" fillId="34" borderId="0" xfId="0" applyNumberFormat="1" applyFont="1" applyFill="1" applyBorder="1"/>
    <x:xf numFmtId="0" fontId="6" fillId="34" borderId="0" xfId="0" applyNumberFormat="1" applyFont="1" applyFill="1" applyBorder="1" applyAlignment="1">
      <x:alignment wrapText="1"/>
    </x:xf>
    <x:xf numFmtId="0" fontId="6" fillId="34" borderId="0" xfId="0" applyNumberFormat="1" applyFont="1" applyFill="1" applyBorder="1" applyAlignment="1">
      <x:alignment vertical="center" wrapText="1"/>
    </x:xf>
    <x:xf numFmtId="209" fontId="11" fillId="0" borderId="0" xfId="0" applyNumberFormat="1" applyFont="1" applyFill="1" applyBorder="1" applyAlignment="1">
      <x:alignment wrapText="1"/>
    </x:xf>
    <x:xf numFmtId="207" fontId="0" fillId="0" borderId="0" xfId="0" applyNumberFormat="1" applyFont="1" applyFill="1" applyBorder="1"/>
    <x:xf numFmtId="206" fontId="0" fillId="0" borderId="0" xfId="0" applyNumberFormat="1" applyFont="1" applyFill="1" applyBorder="1"/>
    <x:xf numFmtId="212" fontId="0" fillId="0" borderId="0" xfId="0" applyNumberFormat="1" applyFont="1" applyFill="1" applyBorder="1"/>
    <x:xf numFmtId="211" fontId="11" fillId="0" borderId="0" xfId="0" applyNumberFormat="1" applyFont="1" applyFill="1" applyBorder="1"/>
    <x:xf numFmtId="207" fontId="11" fillId="0" borderId="0" xfId="0" applyNumberFormat="1" applyFont="1" applyFill="1" applyBorder="1"/>
    <x:xf numFmtId="206" fontId="11" fillId="0" borderId="0" xfId="0" applyNumberFormat="1" applyFont="1" applyFill="1" applyBorder="1"/>
    <x:xf numFmtId="212" fontId="11" fillId="0" borderId="0" xfId="0" applyNumberFormat="1" applyFont="1" applyFill="1" applyBorder="1"/>
    <x:xf numFmtId="0" fontId="0" fillId="37" borderId="0" xfId="0" applyNumberFormat="1" applyFont="1" applyFill="1" applyBorder="1"/>
    <x:xf numFmtId="0" fontId="8" fillId="37" borderId="0" xfId="0" applyNumberFormat="1" applyFont="1" applyFill="1" applyBorder="1"/>
    <x:xf numFmtId="0" fontId="8" fillId="37" borderId="0" xfId="0" applyNumberFormat="1" applyFont="1" applyFill="1" applyBorder="1" applyAlignment="1">
      <x:alignment wrapText="1"/>
    </x:xf>
    <x:xf numFmtId="0" fontId="8" fillId="37" borderId="0" xfId="0" applyNumberFormat="1" applyFont="1" applyFill="1" applyBorder="1" applyAlignment="1">
      <x:alignment vertical="center" wrapText="1"/>
    </x:xf>
    <x:xf numFmtId="203" fontId="8" fillId="37" borderId="0" xfId="0" applyNumberFormat="1" applyFont="1" applyFill="1" applyBorder="1" applyAlignment="1">
      <x:alignment vertical="center" wrapText="1"/>
    </x:xf>
    <x:xf numFmtId="0" fontId="0" fillId="36" borderId="0" xfId="0" applyNumberFormat="1" applyFont="1" applyFill="1" applyBorder="1"/>
    <x:xf numFmtId="0" fontId="10" fillId="36" borderId="0" xfId="0" applyNumberFormat="1" applyFont="1" applyFill="1" applyBorder="1"/>
    <x:xf numFmtId="0" fontId="10" fillId="36" borderId="0" xfId="0" applyNumberFormat="1" applyFont="1" applyFill="1" applyBorder="1" applyAlignment="1">
      <x:alignment wrapText="1"/>
    </x:xf>
    <x:xf numFmtId="203" fontId="10" fillId="36" borderId="0" xfId="0" applyNumberFormat="1" applyFont="1" applyFill="1" applyBorder="1" applyAlignment="1">
      <x:alignment wrapText="1"/>
    </x:xf>
    <x:xf numFmtId="208" fontId="0" fillId="0" borderId="0" xfId="0" applyNumberFormat="1" applyFont="1" applyFill="1" applyBorder="1"/>
    <x:xf numFmtId="200" fontId="9" fillId="0" borderId="0" xfId="0" applyNumberFormat="1" applyFont="1" applyFill="1" applyBorder="1"/>
    <x:xf numFmtId="205" fontId="9" fillId="0" borderId="0" xfId="0" applyNumberFormat="1" applyFont="1" applyFill="1" applyBorder="1"/>
    <x:xf numFmtId="207" fontId="9" fillId="0" borderId="0" xfId="0" applyNumberFormat="1" applyFont="1" applyFill="1" applyBorder="1"/>
    <x:xf numFmtId="208" fontId="0" fillId="36" borderId="0" xfId="0" applyNumberFormat="1" applyFont="1" applyFill="1" applyBorder="1"/>
    <x:xf numFmtId="200" fontId="9" fillId="36" borderId="0" xfId="0" applyNumberFormat="1" applyFont="1" applyFill="1" applyBorder="1"/>
    <x:xf numFmtId="205" fontId="9" fillId="36" borderId="0" xfId="0" applyNumberFormat="1" applyFont="1" applyFill="1" applyBorder="1"/>
    <x:xf numFmtId="207" fontId="9" fillId="36" borderId="0" xfId="0" applyNumberFormat="1" applyFont="1" applyFill="1" applyBorder="1"/>
    <x:xf numFmtId="208" fontId="9" fillId="0" borderId="0" xfId="0" applyNumberFormat="1" applyFont="1" applyFill="1" applyBorder="1"/>
    <x:xf numFmtId="202" fontId="0" fillId="36" borderId="0" xfId="0" applyNumberFormat="1" applyFont="1" applyFill="1" applyBorder="1"/>
    <x:xf numFmtId="208" fontId="9" fillId="36" borderId="0" xfId="0" applyNumberFormat="1" applyFont="1" applyFill="1" applyBorder="1"/>
    <x:xf numFmtId="0" fontId="1" fillId="33" borderId="0" xfId="0" applyNumberFormat="1" applyFont="1" applyFill="1" applyBorder="1" applyAlignment="1">
      <x:alignment vertical="center" wrapText="1"/>
    </x:xf>
    <x:xf numFmtId="211" fontId="5" fillId="0" borderId="0" xfId="0" applyNumberFormat="1" applyFont="1" applyFill="1" applyBorder="1" applyAlignment="1">
      <x:alignment wrapText="1"/>
    </x:xf>
    <x:xf numFmtId="211" fontId="11" fillId="0" borderId="0" xfId="0" applyNumberFormat="1" applyFont="1" applyFill="1" applyBorder="1" applyAlignment="1">
      <x:alignment wrapText="1"/>
    </x:xf>
    <x:xf numFmtId="207" fontId="11" fillId="0" borderId="0" xfId="0" applyNumberFormat="1" applyFont="1" applyFill="1" applyBorder="1" applyAlignment="1">
      <x:alignment wrapText="1"/>
    </x:xf>
    <x:xf numFmtId="206" fontId="11" fillId="0" borderId="0" xfId="0" applyNumberFormat="1" applyFont="1" applyFill="1" applyBorder="1" applyAlignment="1">
      <x:alignment wrapText="1"/>
    </x:xf>
    <x:xf numFmtId="212" fontId="11" fillId="0" borderId="0" xfId="0" applyNumberFormat="1" applyFont="1" applyFill="1" applyBorder="1" applyAlignment="1">
      <x:alignment wrapText="1"/>
    </x:xf>
    <x:xf numFmtId="208" fontId="0" fillId="0" borderId="0" xfId="0" applyNumberFormat="1" applyFont="1" applyFill="1" applyBorder="1" applyAlignment="1">
      <x:alignment wrapText="1"/>
    </x:xf>
    <x:xf numFmtId="200" fontId="9" fillId="0" borderId="0" xfId="0" applyNumberFormat="1" applyFont="1" applyFill="1" applyBorder="1" applyAlignment="1">
      <x:alignment wrapText="1"/>
    </x:xf>
    <x:xf numFmtId="205" fontId="9" fillId="0" borderId="0" xfId="0" applyNumberFormat="1" applyFont="1" applyFill="1" applyBorder="1" applyAlignment="1">
      <x:alignment wrapText="1"/>
    </x:xf>
    <x:xf numFmtId="207" fontId="9" fillId="0" borderId="0" xfId="0" applyNumberFormat="1" applyFont="1" applyFill="1" applyBorder="1" applyAlignment="1">
      <x:alignment wrapText="1"/>
    </x:xf>
    <x:xf numFmtId="208" fontId="0" fillId="36" borderId="0" xfId="0" applyNumberFormat="1" applyFont="1" applyFill="1" applyBorder="1" applyAlignment="1">
      <x:alignment wrapText="1"/>
    </x:xf>
    <x:xf numFmtId="200" fontId="9" fillId="36" borderId="0" xfId="0" applyNumberFormat="1" applyFont="1" applyFill="1" applyBorder="1" applyAlignment="1">
      <x:alignment wrapText="1"/>
    </x:xf>
    <x:xf numFmtId="205" fontId="9" fillId="36" borderId="0" xfId="0" applyNumberFormat="1" applyFont="1" applyFill="1" applyBorder="1" applyAlignment="1">
      <x:alignment wrapText="1"/>
    </x:xf>
    <x:xf numFmtId="207" fontId="9" fillId="36" borderId="0" xfId="0" applyNumberFormat="1" applyFont="1" applyFill="1" applyBorder="1" applyAlignment="1">
      <x:alignment wrapText="1"/>
    </x:xf>
    <x:xf numFmtId="208" fontId="9" fillId="0" borderId="0" xfId="0" applyNumberFormat="1" applyFont="1" applyFill="1" applyBorder="1" applyAlignment="1">
      <x:alignment wrapText="1"/>
    </x:xf>
    <x:xf numFmtId="202" fontId="0" fillId="36" borderId="0" xfId="0" applyNumberFormat="1" applyFont="1" applyFill="1" applyBorder="1" applyAlignment="1">
      <x:alignment wrapText="1"/>
    </x:xf>
    <x:xf numFmtId="208" fontId="9" fillId="36" borderId="0" xfId="0" applyNumberFormat="1" applyFont="1" applyFill="1" applyBorder="1" applyAlignment="1">
      <x:alignment wrapText="1"/>
    </x:xf>
    <x:xf numFmtId="0" fontId="0" fillId="31" borderId="0" xfId="0" applyNumberFormat="1" applyFont="1" applyFill="1" applyBorder="1"/>
    <x:xf numFmtId="0" fontId="13" fillId="31" borderId="0" xfId="0" applyNumberFormat="1" applyFont="1" applyFill="1" applyBorder="1"/>
    <x:xf numFmtId="0" fontId="13" fillId="31" borderId="0" xfId="0" applyNumberFormat="1" applyFont="1" applyFill="1" applyBorder="1" applyAlignment="1">
      <x:alignment wrapText="1"/>
    </x:xf>
    <x:xf numFmtId="0" fontId="6" fillId="37" borderId="0" xfId="0" applyNumberFormat="1" applyFont="1" applyFill="1" applyBorder="1"/>
    <x:xf numFmtId="0" fontId="6" fillId="37" borderId="0" xfId="0" applyNumberFormat="1" applyFont="1" applyFill="1" applyBorder="1" applyAlignment="1">
      <x:alignment wrapText="1"/>
    </x:xf>
    <x:xf numFmtId="0" fontId="6" fillId="37" borderId="0" xfId="0" applyNumberFormat="1" applyFont="1" applyFill="1" applyBorder="1" applyAlignment="1">
      <x:alignment vertical="center" wrapText="1"/>
    </x:xf>
    <x:xf numFmtId="0" fontId="0" fillId="35" borderId="0" xfId="0" applyNumberFormat="1" applyFont="1" applyFill="1" applyBorder="1" applyAlignment="1">
      <x:alignment vertical="top"/>
    </x:xf>
    <x:xf numFmtId="0" fontId="7" fillId="35" borderId="0" xfId="0" applyNumberFormat="1" applyFont="1" applyFill="1" applyBorder="1" applyAlignment="1">
      <x:alignment vertical="top"/>
    </x:xf>
    <x:xf numFmtId="0" fontId="7" fillId="35" borderId="0" xfId="0" applyNumberFormat="1" applyFont="1" applyFill="1" applyBorder="1" applyAlignment="1">
      <x:alignment vertical="top" wrapText="1"/>
    </x:xf>
    <x:xf numFmtId="0" fontId="0" fillId="32" borderId="0" xfId="0" applyNumberFormat="1" applyFont="1" applyFill="1" applyBorder="1" applyAlignment="1">
      <x:alignment vertical="top"/>
    </x:xf>
    <x:xf numFmtId="0" fontId="6" fillId="32" borderId="0" xfId="0" applyNumberFormat="1" applyFont="1" applyFill="1" applyBorder="1" applyAlignment="1">
      <x:alignment vertical="top"/>
    </x:xf>
    <x:xf numFmtId="0" fontId="0" fillId="33" borderId="0" xfId="0" applyNumberFormat="1" applyFont="1" applyFill="1" applyBorder="1" applyAlignment="1">
      <x:alignment vertical="top"/>
    </x:xf>
    <x:xf numFmtId="0" fontId="22" fillId="33" borderId="0" xfId="0" applyNumberFormat="1" applyFont="1" applyFill="1" applyBorder="1" applyAlignment="1">
      <x:alignment vertical="top"/>
    </x:xf>
    <x:xf numFmtId="0" fontId="22" fillId="33" borderId="0" xfId="0" applyNumberFormat="1" applyFont="1" applyFill="1" applyBorder="1" applyAlignment="1">
      <x:alignment vertical="top" wrapText="1"/>
    </x:xf>
    <x:xf numFmtId="0" fontId="22" fillId="33" borderId="0" xfId="0" applyNumberFormat="1" applyFont="1" applyFill="1" applyBorder="1" applyAlignment="1">
      <x:alignment horizontal="center" vertical="top" wrapText="1"/>
    </x:xf>
    <x:xf numFmtId="0" fontId="0" fillId="31" borderId="0" xfId="0" applyNumberFormat="1" applyFont="1" applyFill="1" applyBorder="1" applyAlignment="1">
      <x:alignment vertical="top"/>
    </x:xf>
    <x:xf numFmtId="0" fontId="13" fillId="31" borderId="0" xfId="0" applyNumberFormat="1" applyFont="1" applyFill="1" applyBorder="1" applyAlignment="1">
      <x:alignment vertical="top"/>
    </x:xf>
    <x:xf numFmtId="0" fontId="13" fillId="31" borderId="0" xfId="0" applyNumberFormat="1" applyFont="1" applyFill="1" applyBorder="1" applyAlignment="1">
      <x:alignment vertical="top" wrapText="1"/>
    </x:xf>
    <x:xf numFmtId="208" fontId="0" fillId="0" borderId="0" xfId="0" applyNumberFormat="1" applyFont="1" applyFill="1" applyBorder="1" applyAlignment="1">
      <x:alignment vertical="top"/>
    </x:xf>
    <x:xf numFmtId="208" fontId="11" fillId="0" borderId="0" xfId="0" applyNumberFormat="1" applyFont="1" applyFill="1" applyBorder="1" applyAlignment="1">
      <x:alignment vertical="top"/>
    </x:xf>
    <x:xf numFmtId="208" fontId="11" fillId="0" borderId="0" xfId="0" applyNumberFormat="1" applyFont="1" applyFill="1" applyBorder="1" applyAlignment="1">
      <x:alignment vertical="top" wrapText="1"/>
    </x:xf>
    <x:xf numFmtId="0" fontId="0" fillId="36" borderId="0" xfId="0" applyNumberFormat="1" applyFont="1" applyFill="1" applyBorder="1" applyAlignment="1">
      <x:alignment vertical="top" wrapText="1"/>
    </x:xf>
    <x:xf numFmtId="208" fontId="11" fillId="36" borderId="0" xfId="0" applyNumberFormat="1" applyFont="1" applyFill="1" applyBorder="1" applyAlignment="1">
      <x:alignment vertical="top" wrapText="1"/>
    </x:xf>
    <x:xf numFmtId="0" fontId="20" fillId="37" borderId="0" xfId="0" applyNumberFormat="1" applyFont="1" applyFill="1" applyBorder="1" applyAlignment="1">
      <x:alignment vertical="center" wrapText="1"/>
    </x:xf>
    <x:xf numFmtId="0" fontId="9" fillId="4" borderId="0" xfId="0" applyNumberFormat="1" applyFont="1" applyFill="1" applyBorder="1" applyAlignment="1">
      <x:alignment vertical="top" wrapText="1"/>
    </x:xf>
    <x:xf numFmtId="0" fontId="9" fillId="5" borderId="0" xfId="0" applyNumberFormat="1" applyFont="1" applyFill="1" applyBorder="1" applyAlignment="1">
      <x:alignment vertical="top" wrapText="1"/>
    </x:xf>
    <x:xf numFmtId="208" fontId="5" fillId="4" borderId="0" xfId="0" applyNumberFormat="1" applyFont="1" applyFill="1" applyBorder="1" applyAlignment="1">
      <x:alignment vertical="top" wrapText="1"/>
    </x:xf>
    <x:xf numFmtId="209" fontId="5" fillId="4" borderId="0" xfId="0" applyNumberFormat="1" applyFont="1" applyFill="1" applyBorder="1" applyAlignment="1">
      <x:alignment vertical="top" wrapText="1"/>
    </x:xf>
    <x:xf numFmtId="207" fontId="5" fillId="4" borderId="0" xfId="0" applyNumberFormat="1" applyFont="1" applyFill="1" applyBorder="1" applyAlignment="1">
      <x:alignment vertical="top" wrapText="1"/>
    </x:xf>
    <x:xf numFmtId="203" fontId="5" fillId="5" borderId="0" xfId="0" applyNumberFormat="1" applyFont="1" applyFill="1" applyBorder="1" applyAlignment="1">
      <x:alignment vertical="top" wrapText="1"/>
    </x:xf>
    <x:xf numFmtId="208" fontId="5" fillId="5" borderId="0" xfId="0" applyNumberFormat="1" applyFont="1" applyFill="1" applyBorder="1" applyAlignment="1">
      <x:alignment vertical="top" wrapText="1"/>
    </x:xf>
    <x:xf numFmtId="0" fontId="1" fillId="2" borderId="0" xfId="0" applyNumberFormat="1" applyFont="1" applyFill="1" applyBorder="1" applyAlignment="1">
      <x:alignment vertical="center"/>
    </x:xf>
    <x:xf numFmtId="0" fontId="7" fillId="6" borderId="0" xfId="0" applyNumberFormat="1" applyFont="1" applyFill="1" applyBorder="1" applyAlignment="1">
      <x:alignment wrapText="1"/>
    </x:xf>
    <x:xf numFmtId="0" fontId="22" fillId="2" borderId="0" xfId="0" applyNumberFormat="1" applyFont="1" applyFill="1" applyBorder="1"/>
    <x:xf numFmtId="0" fontId="22" fillId="2" borderId="0" xfId="0" applyNumberFormat="1" applyFont="1" applyFill="1" applyBorder="1" applyAlignment="1">
      <x:alignment wrapText="1"/>
    </x:xf>
    <x:xf numFmtId="0" fontId="22" fillId="2" borderId="0" xfId="0" applyNumberFormat="1" applyFont="1" applyFill="1" applyBorder="1" applyAlignment="1">
      <x:alignment horizontal="center" wrapText="1"/>
    </x:xf>
    <x:xf numFmtId="0" fontId="22" fillId="2" borderId="0" xfId="0" applyNumberFormat="1" applyFont="1" applyFill="1" applyBorder="1" applyAlignment="1">
      <x:alignment horizontal="center" vertical="center" wrapText="1"/>
    </x:xf>
    <x:xf numFmtId="200" fontId="11" fillId="7" borderId="0" xfId="0" applyNumberFormat="1" applyFont="1" applyFill="1" applyBorder="1" applyAlignment="1">
      <x:alignment wrapText="1"/>
    </x:xf>
    <x:xf numFmtId="202" fontId="11" fillId="7" borderId="0" xfId="0" applyNumberFormat="1" applyFont="1" applyFill="1" applyBorder="1" applyAlignment="1">
      <x:alignment wrapText="1"/>
    </x:xf>
    <x:xf numFmtId="205" fontId="11" fillId="7" borderId="0" xfId="0" applyNumberFormat="1" applyFont="1" applyFill="1" applyBorder="1" applyAlignment="1">
      <x:alignment wrapText="1"/>
    </x:xf>
    <x:xf numFmtId="0" fontId="11" fillId="7" borderId="0" xfId="0" applyNumberFormat="1" applyFont="1" applyFill="1" applyBorder="1" applyAlignment="1">
      <x:alignment wrapText="1"/>
    </x:xf>
    <x:xf numFmtId="0" fontId="6" fillId="5" borderId="0" xfId="0" applyNumberFormat="1" applyFont="1" applyFill="1" applyBorder="1"/>
    <x:xf numFmtId="0" fontId="6" fillId="5" borderId="0" xfId="0" applyNumberFormat="1" applyFont="1" applyFill="1" applyBorder="1" applyAlignment="1">
      <x:alignment wrapText="1"/>
    </x:xf>
    <x:xf numFmtId="209" fontId="5" fillId="4" borderId="0" xfId="0" applyNumberFormat="1" applyFont="1" applyFill="1" applyBorder="1" applyAlignment="1">
      <x:alignment wrapText="1"/>
    </x:xf>
    <x:xf numFmtId="0" fontId="6" fillId="3" borderId="0" xfId="0" applyNumberFormat="1" applyFont="1" applyFill="1" applyBorder="1"/>
    <x:xf numFmtId="0" fontId="6" fillId="3" borderId="0" xfId="0" applyNumberFormat="1" applyFont="1" applyFill="1" applyBorder="1" applyAlignment="1">
      <x:alignment wrapText="1"/>
    </x:xf>
    <x:xf numFmtId="0" fontId="6" fillId="3" borderId="0" xfId="0" applyNumberFormat="1" applyFont="1" applyFill="1" applyBorder="1" applyAlignment="1">
      <x:alignment vertical="center" wrapText="1"/>
    </x:xf>
    <x:xf numFmtId="203" fontId="10" fillId="7" borderId="0" xfId="0" applyNumberFormat="1" applyFont="1" applyFill="1" applyBorder="1" applyAlignment="1">
      <x:alignment wrapText="1"/>
    </x:xf>
    <x:xf numFmtId="208" fontId="0" fillId="7" borderId="0" xfId="0" applyNumberFormat="1" applyFont="1" applyFill="1" applyBorder="1"/>
    <x:xf numFmtId="200" fontId="9" fillId="7" borderId="0" xfId="0" applyNumberFormat="1" applyFont="1" applyFill="1" applyBorder="1"/>
    <x:xf numFmtId="205" fontId="9" fillId="7" borderId="0" xfId="0" applyNumberFormat="1" applyFont="1" applyFill="1" applyBorder="1"/>
    <x:xf numFmtId="207" fontId="9" fillId="7" borderId="0" xfId="0" applyNumberFormat="1" applyFont="1" applyFill="1" applyBorder="1"/>
    <x:xf numFmtId="202" fontId="0" fillId="7" borderId="0" xfId="0" applyNumberFormat="1" applyFont="1" applyFill="1" applyBorder="1"/>
    <x:xf numFmtId="208" fontId="9" fillId="7" borderId="0" xfId="0" applyNumberFormat="1" applyFont="1" applyFill="1" applyBorder="1"/>
    <x:xf numFmtId="0" fontId="1" fillId="2" borderId="0" xfId="0" applyNumberFormat="1" applyFont="1" applyFill="1" applyBorder="1" applyAlignment="1">
      <x:alignment vertical="center" wrapText="1"/>
    </x:xf>
    <x:xf numFmtId="208" fontId="0" fillId="7" borderId="0" xfId="0" applyNumberFormat="1" applyFont="1" applyFill="1" applyBorder="1" applyAlignment="1">
      <x:alignment wrapText="1"/>
    </x:xf>
    <x:xf numFmtId="200" fontId="9" fillId="7" borderId="0" xfId="0" applyNumberFormat="1" applyFont="1" applyFill="1" applyBorder="1" applyAlignment="1">
      <x:alignment wrapText="1"/>
    </x:xf>
    <x:xf numFmtId="205" fontId="9" fillId="7" borderId="0" xfId="0" applyNumberFormat="1" applyFont="1" applyFill="1" applyBorder="1" applyAlignment="1">
      <x:alignment wrapText="1"/>
    </x:xf>
    <x:xf numFmtId="207" fontId="9" fillId="7" borderId="0" xfId="0" applyNumberFormat="1" applyFont="1" applyFill="1" applyBorder="1" applyAlignment="1">
      <x:alignment wrapText="1"/>
    </x:xf>
    <x:xf numFmtId="202" fontId="0" fillId="7" borderId="0" xfId="0" applyNumberFormat="1" applyFont="1" applyFill="1" applyBorder="1" applyAlignment="1">
      <x:alignment wrapText="1"/>
    </x:xf>
    <x:xf numFmtId="208" fontId="9" fillId="7" borderId="0" xfId="0" applyNumberFormat="1" applyFont="1" applyFill="1" applyBorder="1" applyAlignment="1">
      <x:alignment wrapText="1"/>
    </x:xf>
    <x:xf numFmtId="0" fontId="0" fillId="4" borderId="0" xfId="0" applyNumberFormat="1" applyFont="1" applyFill="1" applyBorder="1"/>
    <x:xf numFmtId="0" fontId="13" fillId="4" borderId="0" xfId="0" applyNumberFormat="1" applyFont="1" applyFill="1" applyBorder="1"/>
    <x:xf numFmtId="0" fontId="6" fillId="9" borderId="0" xfId="0" applyNumberFormat="1" applyFont="1" applyFill="1" applyBorder="1"/>
    <x:xf numFmtId="0" fontId="6" fillId="9" borderId="0" xfId="0" applyNumberFormat="1" applyFont="1" applyFill="1" applyBorder="1" applyAlignment="1">
      <x:alignment wrapText="1"/>
    </x:xf>
    <x:xf numFmtId="0" fontId="22" fillId="2" borderId="0" xfId="0" applyNumberFormat="1" applyFont="1" applyFill="1" applyBorder="1" applyAlignment="1">
      <x:alignment vertical="top"/>
    </x:xf>
    <x:xf numFmtId="0" fontId="22" fillId="2" borderId="0" xfId="0" applyNumberFormat="1" applyFont="1" applyFill="1" applyBorder="1" applyAlignment="1">
      <x:alignment vertical="top" wrapText="1"/>
    </x:xf>
    <x:xf numFmtId="0" fontId="22" fillId="2" borderId="0" xfId="0" applyNumberFormat="1" applyFont="1" applyFill="1" applyBorder="1" applyAlignment="1">
      <x:alignment horizontal="center" vertical="top" wrapText="1"/>
    </x:xf>
    <x:xf numFmtId="0" fontId="0" fillId="4" borderId="0" xfId="0" applyNumberFormat="1" applyFont="1" applyFill="1" applyBorder="1" applyAlignment="1">
      <x:alignment vertical="top"/>
    </x:xf>
    <x:xf numFmtId="0" fontId="13" fillId="4" borderId="0" xfId="0" applyNumberFormat="1" applyFont="1" applyFill="1" applyBorder="1" applyAlignment="1">
      <x:alignment vertical="top"/>
    </x:xf>
    <x:xf numFmtId="208" fontId="11" fillId="7" borderId="0" xfId="0" applyNumberFormat="1" applyFont="1" applyFill="1" applyBorder="1" applyAlignment="1">
      <x:alignment vertical="top" wrapText="1"/>
    </x:xf>
    <x:xf numFmtId="0" fontId="20" fillId="9" borderId="0" xfId="0" applyNumberFormat="1" applyFont="1" applyFill="1" applyBorder="1" applyAlignment="1">
      <x:alignment vertical="center" wrapText="1"/>
    </x:xf>
    <x:xf numFmtId="213" fontId="11" fillId="0" borderId="0" xfId="0" applyNumberFormat="1" applyFont="1" applyFill="1" applyBorder="1" applyAlignment="1">
      <x:alignment wrapText="1"/>
    </x:xf>
    <x:xf numFmtId="201" fontId="22" fillId="2" borderId="0" xfId="0" applyNumberFormat="1" applyFont="1" applyFill="1" applyBorder="1" applyAlignment="1">
      <x:alignment horizontal="center" vertical="center" wrapText="1"/>
    </x:xf>
    <x:xf numFmtId="201" fontId="0" fillId="0" borderId="0" xfId="0" applyNumberFormat="1" applyFont="1" applyFill="1" applyBorder="1" applyAlignment="1">
      <x:alignment wrapText="1"/>
    </x:xf>
    <x:xf numFmtId="201" fontId="9" fillId="0" borderId="0" xfId="0" applyNumberFormat="1" applyFont="1" applyFill="1" applyBorder="1" applyAlignment="1">
      <x:alignment wrapText="1"/>
    </x:xf>
    <x:xf numFmtId="201" fontId="9" fillId="7" borderId="0" xfId="0" applyNumberFormat="1" applyFont="1" applyFill="1" applyBorder="1" applyAlignment="1">
      <x:alignment wrapText="1"/>
    </x:xf>
    <x:xf numFmtId="201" fontId="0" fillId="7" borderId="0" xfId="0" applyNumberFormat="1" applyFont="1" applyFill="1" applyBorder="1" applyAlignment="1">
      <x:alignment wrapText="1"/>
    </x:xf>
    <x:xf numFmtId="201" fontId="0" fillId="38" borderId="0" xfId="0" applyNumberFormat="1" applyFont="1" applyFill="1" applyBorder="1" applyAlignment="1">
      <x:alignment wrapText="1"/>
    </x:xf>
    <x:xf numFmtId="201" fontId="7" fillId="38" borderId="0" xfId="0" applyNumberFormat="1" applyFont="1" applyFill="1" applyBorder="1" applyAlignment="1">
      <x:alignment wrapText="1"/>
    </x:xf>
    <x:xf numFmtId="201" fontId="7" fillId="38" borderId="0" xfId="0" applyNumberFormat="1" applyFont="1" applyFill="1" applyBorder="1" applyAlignment="1">
      <x:alignment vertical="center" wrapText="1"/>
    </x:xf>
    <x:xf numFmtId="0" fontId="0" fillId="39" borderId="0" xfId="0" applyNumberFormat="1" applyFont="1" applyFill="1" applyBorder="1" applyAlignment="1">
      <x:alignment wrapText="1"/>
    </x:xf>
    <x:xf numFmtId="0" fontId="7" fillId="39" borderId="0" xfId="0" applyNumberFormat="1" applyFont="1" applyFill="1" applyBorder="1" applyAlignment="1">
      <x:alignment wrapText="1"/>
    </x:xf>
    <x:xf numFmtId="0" fontId="7" fillId="39" borderId="0" xfId="0" applyNumberFormat="1" applyFont="1" applyFill="1" applyBorder="1" applyAlignment="1">
      <x:alignment vertical="center" wrapText="1"/>
    </x:xf>
    <x:xf numFmtId="0" fontId="0" fillId="39" borderId="0" xfId="0" applyNumberFormat="1" applyFont="1" applyFill="1" applyBorder="1"/>
    <x:xf numFmtId="0" fontId="23" fillId="39" borderId="0" xfId="0" applyNumberFormat="1" applyFont="1" applyFill="1" applyBorder="1"/>
    <x:xf numFmtId="0" fontId="0" fillId="38" borderId="0" xfId="0" applyNumberFormat="1" applyFont="1" applyFill="1" applyBorder="1"/>
    <x:xf numFmtId="0" fontId="7" fillId="38" borderId="0" xfId="0" applyNumberFormat="1" applyFont="1" applyFill="1" applyBorder="1"/>
    <x:xf numFmtId="0" fontId="7" fillId="38" borderId="0" xfId="0" applyNumberFormat="1" applyFont="1" applyFill="1" applyBorder="1" applyAlignment="1">
      <x:alignment wrapText="1"/>
    </x:xf>
    <x:xf numFmtId="214" fontId="0" fillId="0" borderId="0" xfId="0" applyNumberFormat="1" applyFont="1" applyFill="1" applyBorder="1"/>
    <x:xf numFmtId="215" fontId="0" fillId="0" borderId="0" xfId="0" applyNumberFormat="1" applyFont="1" applyFill="1" applyBorder="1"/>
    <x:xf numFmtId="214" fontId="0" fillId="0" borderId="0" xfId="0" applyNumberFormat="1" applyFont="1" applyFill="1" applyBorder="1" applyAlignment="1">
      <x:alignment wrapText="1"/>
    </x:xf>
    <x:xf numFmtId="215" fontId="0" fillId="0" borderId="0" xfId="0" applyNumberFormat="1" applyFont="1" applyFill="1" applyBorder="1" applyAlignment="1">
      <x:alignment wrapText="1"/>
    </x:xf>
    <x:xf numFmtId="0" fontId="0" fillId="39" borderId="0" xfId="0" applyNumberFormat="1" applyFont="1" applyFill="1" applyBorder="1" applyAlignment="1">
      <x:alignment vertical="top"/>
    </x:xf>
    <x:xf numFmtId="0" fontId="23" fillId="39" borderId="0" xfId="0" applyNumberFormat="1" applyFont="1" applyFill="1" applyBorder="1" applyAlignment="1">
      <x:alignment vertical="top"/>
    </x:xf>
    <x:xf numFmtId="0" fontId="0" fillId="38" borderId="0" xfId="0" applyNumberFormat="1" applyFont="1" applyFill="1" applyBorder="1" applyAlignment="1">
      <x:alignment vertical="top"/>
    </x:xf>
    <x:xf numFmtId="0" fontId="7" fillId="38" borderId="0" xfId="0" applyNumberFormat="1" applyFont="1" applyFill="1" applyBorder="1" applyAlignment="1">
      <x:alignment vertical="top"/>
    </x:xf>
    <x:xf numFmtId="0" fontId="7" fillId="38" borderId="0" xfId="0" applyNumberFormat="1" applyFont="1" applyFill="1" applyBorder="1" applyAlignment="1">
      <x:alignment vertical="top" wrapText="1"/>
    </x:xf>
    <x:xf numFmtId="201" fontId="0" fillId="0" borderId="0" xfId="0" applyNumberFormat="1" applyFont="1" applyFill="1" applyBorder="1" applyAlignment="1">
      <x:alignment vertical="top"/>
    </x:xf>
    <x:xf numFmtId="0" fontId="23" fillId="39" borderId="0" xfId="0" applyNumberFormat="1" applyFont="1" applyFill="1" applyBorder="1" applyAlignment="1">
      <x:alignment vertical="top" wrapText="1"/>
    </x:xf>
    <x:xf numFmtId="201" fontId="0" fillId="0" borderId="0" xfId="0" applyNumberFormat="1" applyFont="1" applyFill="1" applyBorder="1" applyAlignment="1">
      <x:alignment vertical="top" wrapText="1"/>
    </x:xf>
    <x:xf numFmtId="0" fontId="0" fillId="40" borderId="0" xfId="0" applyNumberFormat="1" applyFont="1" applyFill="1" applyBorder="1"/>
    <x:xf numFmtId="0" fontId="24" fillId="40" borderId="0" xfId="0" applyNumberFormat="1" applyFont="1" applyFill="1" applyBorder="1"/>
    <x:xf numFmtId="0" fontId="24" fillId="40" borderId="0" xfId="0" applyNumberFormat="1" applyFont="1" applyFill="1" applyBorder="1" applyAlignment="1">
      <x:alignment wrapText="1"/>
    </x:xf>
    <x:xf numFmtId="216" fontId="0" fillId="0" borderId="0" xfId="0" applyNumberFormat="1" applyFont="1" applyFill="1" applyBorder="1"/>
    <x:xf numFmtId="217" fontId="0" fillId="0" borderId="0" xfId="0" applyNumberFormat="1" applyFont="1" applyFill="1" applyBorder="1"/>
    <x:xf numFmtId="218" fontId="0" fillId="0" borderId="0" xfId="0" applyNumberFormat="1" applyFont="1" applyFill="1" applyBorder="1"/>
    <x:xf numFmtId="201" fontId="0" fillId="0" borderId="0" xfId="0" applyNumberFormat="1" applyFont="1" applyFill="1" applyBorder="1"/>
    <x:xf numFmtId="0" fontId="23" fillId="39" borderId="0" xfId="0" applyNumberFormat="1" applyFont="1" applyFill="1" applyBorder="1" applyAlignment="1">
      <x:alignment wrapText="1"/>
    </x:xf>
    <x:xf numFmtId="216" fontId="0" fillId="0" borderId="0" xfId="0" applyNumberFormat="1" applyFont="1" applyFill="1" applyBorder="1" applyAlignment="1">
      <x:alignment wrapText="1"/>
    </x:xf>
    <x:xf numFmtId="217" fontId="0" fillId="0" borderId="0" xfId="0" applyNumberFormat="1" applyFont="1" applyFill="1" applyBorder="1" applyAlignment="1">
      <x:alignment wrapText="1"/>
    </x:xf>
    <x:xf numFmtId="218" fontId="0" fillId="0" borderId="0" xfId="0" applyNumberFormat="1" applyFont="1" applyFill="1" applyBorder="1" applyAlignment="1">
      <x:alignment wrapText="1"/>
    </x:xf>
    <x:xf numFmtId="214" fontId="0" fillId="0" borderId="0" xfId="0" applyNumberFormat="1" applyFont="1" applyFill="1" applyBorder="1" applyAlignment="1">
      <x:alignment vertical="top"/>
    </x:xf>
    <x:xf numFmtId="214" fontId="0" fillId="0" borderId="0" xfId="0" applyNumberFormat="1" applyFont="1" applyFill="1" applyBorder="1" applyAlignment="1">
      <x:alignment vertical="top" wrapText="1"/>
    </x:xf>
    <x:xf numFmtId="0" fontId="25" fillId="39" borderId="0" xfId="0" applyNumberFormat="1" applyFont="1" applyFill="1" applyBorder="1"/>
    <x:xf numFmtId="0" fontId="0" fillId="41" borderId="0" xfId="0" applyNumberFormat="1" applyFont="1" applyFill="1" applyBorder="1"/>
    <x:xf numFmtId="0" fontId="0" fillId="41" borderId="0" xfId="0" applyNumberFormat="1" applyFont="1" applyFill="1" applyBorder="1" applyAlignment="1">
      <x:alignment wrapText="1"/>
    </x:xf>
    <x:xf numFmtId="213" fontId="0" fillId="0" borderId="0" xfId="0" applyNumberFormat="1" applyFont="1" applyFill="1" applyBorder="1"/>
    <x:xf numFmtId="0" fontId="25" fillId="39" borderId="0" xfId="0" applyNumberFormat="1" applyFont="1" applyFill="1" applyBorder="1" applyAlignment="1">
      <x:alignment wrapText="1"/>
    </x:xf>
    <x:xf numFmtId="213" fontId="0" fillId="0" borderId="0" xfId="0" applyNumberFormat="1" applyFont="1" applyFill="1" applyBorder="1" applyAlignment="1">
      <x:alignment wrapText="1"/>
    </x:xf>
    <x:xf numFmtId="0" fontId="0" fillId="42" borderId="0" xfId="0" applyNumberFormat="1" applyFont="1" applyFill="1" applyBorder="1" applyAlignment="1">
      <x:alignment vertical="top" wrapText="1"/>
    </x:xf>
    <x:xf numFmtId="203" fontId="5" fillId="42" borderId="0" xfId="0" applyNumberFormat="1" applyFont="1" applyFill="1" applyBorder="1" applyAlignment="1">
      <x:alignment horizontal="right" vertical="top" wrapText="1"/>
    </x:xf>
    <x:xf numFmtId="0" fontId="9" fillId="42" borderId="0" xfId="0" applyNumberFormat="1" applyFont="1" applyFill="1" applyBorder="1" applyAlignment="1">
      <x:alignment vertical="top" wrapText="1"/>
    </x:xf>
    <x:xf numFmtId="203" fontId="9" fillId="42" borderId="0" xfId="0" applyNumberFormat="1" applyFont="1" applyFill="1" applyBorder="1" applyAlignment="1">
      <x:alignment horizontal="right" vertical="top" wrapText="1"/>
    </x:xf>
    <x:xf numFmtId="0" fontId="9" fillId="42" borderId="0" xfId="0" applyNumberFormat="1" applyFont="1" applyFill="1" applyBorder="1" applyAlignment="1">
      <x:alignment vertical="center" wrapText="1"/>
    </x:xf>
    <x:xf numFmtId="203" fontId="9" fillId="42" borderId="0" xfId="0" applyNumberFormat="1" applyFont="1" applyFill="1" applyBorder="1" applyAlignment="1">
      <x:alignment horizontal="right" vertical="center" wrapText="1"/>
    </x:xf>
    <x:xf numFmtId="203" fontId="9" fillId="41" borderId="0" xfId="0" applyNumberFormat="1" applyFont="1" applyFill="1" applyBorder="1" applyAlignment="1">
      <x:alignment horizontal="right" vertical="center" wrapText="1"/>
    </x:xf>
    <x:xf numFmtId="203" fontId="5" fillId="41" borderId="0" xfId="0" applyNumberFormat="1" applyFont="1" applyFill="1" applyBorder="1" applyAlignment="1">
      <x:alignment horizontal="right" vertical="center" wrapText="1"/>
    </x:xf>
    <x:xf numFmtId="213" fontId="5" fillId="41" borderId="0" xfId="0" applyNumberFormat="1" applyFont="1" applyFill="1" applyBorder="1" applyAlignment="1">
      <x:alignment horizontal="right" vertical="center" wrapText="1"/>
    </x:xf>
    <x:xf numFmtId="0" fontId="9" fillId="43" borderId="0" xfId="0" applyNumberFormat="1" applyFont="1" applyFill="1" applyBorder="1" applyAlignment="1">
      <x:alignment vertical="center" wrapText="1"/>
    </x:xf>
    <x:xf numFmtId="0" fontId="11" fillId="42" borderId="0" xfId="0" applyNumberFormat="1" applyFont="1" applyFill="1" applyBorder="1" applyAlignment="1">
      <x:alignment vertical="center" wrapText="1"/>
    </x:xf>
    <x:xf numFmtId="0" fontId="0" fillId="42" borderId="0" xfId="0" applyNumberFormat="1" applyFont="1" applyFill="1" applyBorder="1" applyAlignment="1">
      <x:alignment wrapText="1"/>
    </x:xf>
    <x:xf numFmtId="209" fontId="11" fillId="42" borderId="0" xfId="0" applyNumberFormat="1" applyFont="1" applyFill="1" applyBorder="1" applyAlignment="1">
      <x:alignment wrapText="1"/>
    </x:xf>
    <x:xf numFmtId="213" fontId="11" fillId="42" borderId="0" xfId="0" applyNumberFormat="1" applyFont="1" applyFill="1" applyBorder="1" applyAlignment="1">
      <x:alignment wrapText="1"/>
    </x:xf>
    <x:xf numFmtId="0" fontId="11" fillId="42" borderId="0" xfId="0" applyNumberFormat="1" applyFont="1" applyFill="1" applyBorder="1" applyAlignment="1">
      <x:alignment wrapText="1"/>
    </x:xf>
    <x:xf numFmtId="0" fontId="9" fillId="42" borderId="0" xfId="0" applyNumberFormat="1" applyFont="1" applyFill="1" applyBorder="1" applyAlignment="1">
      <x:alignment wrapText="1"/>
    </x:xf>
    <x:xf numFmtId="209" fontId="9" fillId="42" borderId="0" xfId="0" applyNumberFormat="1" applyFont="1" applyFill="1" applyBorder="1" applyAlignment="1">
      <x:alignment wrapText="1"/>
    </x:xf>
    <x:xf numFmtId="213" fontId="9" fillId="42" borderId="0" xfId="0" applyNumberFormat="1" applyFont="1" applyFill="1" applyBorder="1" applyAlignment="1">
      <x:alignment wrapText="1"/>
    </x:xf>
    <x:xf numFmtId="209" fontId="9" fillId="42" borderId="0" xfId="0" applyNumberFormat="1" applyFont="1" applyFill="1" applyBorder="1" applyAlignment="1">
      <x:alignment vertical="center" wrapText="1"/>
    </x:xf>
    <x:xf numFmtId="213" fontId="9" fillId="42" borderId="0" xfId="0" applyNumberFormat="1" applyFont="1" applyFill="1" applyBorder="1" applyAlignment="1">
      <x:alignment vertical="center" wrapText="1"/>
    </x:xf>
    <x:xf numFmtId="209" fontId="11" fillId="42" borderId="0" xfId="0" applyNumberFormat="1" applyFont="1" applyFill="1" applyBorder="1" applyAlignment="1">
      <x:alignment vertical="center" wrapText="1"/>
    </x:xf>
    <x:xf numFmtId="213" fontId="11" fillId="42" borderId="0" xfId="0" applyNumberFormat="1" applyFont="1" applyFill="1" applyBorder="1" applyAlignment="1">
      <x:alignment vertical="center" wrapText="1"/>
    </x:xf>
    <x:xf numFmtId="215" fontId="11" fillId="42" borderId="0" xfId="0" applyNumberFormat="1" applyFont="1" applyFill="1" applyBorder="1" applyAlignment="1">
      <x:alignment vertical="center" wrapText="1"/>
    </x:xf>
    <x:xf numFmtId="0" fontId="9" fillId="40" borderId="0" xfId="0" applyNumberFormat="1" applyFont="1" applyFill="1" applyBorder="1" applyAlignment="1">
      <x:alignment vertical="center" wrapText="1"/>
    </x:xf>
    <x:xf numFmtId="0" fontId="24" fillId="40" borderId="0" xfId="0" applyNumberFormat="1" applyFont="1" applyFill="1" applyBorder="1" applyAlignment="1">
      <x:alignment vertical="center" wrapText="1"/>
    </x:xf>
    <x:xf numFmtId="0" fontId="9" fillId="4" borderId="0" xfId="0" applyNumberFormat="1" applyFont="1" applyFill="1" applyBorder="1" applyAlignment="1">
      <x:alignment vertical="center" wrapText="1"/>
    </x:xf>
    <x:xf numFmtId="0" fontId="0" fillId="44" borderId="0" xfId="0" applyNumberFormat="1" applyFont="1" applyFill="1" applyBorder="1"/>
    <x:xf numFmtId="0" fontId="1" fillId="44" borderId="0" xfId="0" applyNumberFormat="1" applyFont="1" applyFill="1" applyBorder="1"/>
    <x:xf numFmtId="0" fontId="0" fillId="45" borderId="0" xfId="0" applyNumberFormat="1" applyFont="1" applyFill="1" applyBorder="1"/>
    <x:xf numFmtId="0" fontId="26" fillId="45" borderId="0" xfId="0" applyNumberFormat="1" applyFont="1" applyFill="1" applyBorder="1"/>
    <x:xf numFmtId="0" fontId="26" fillId="45" borderId="0" xfId="0" applyNumberFormat="1" applyFont="1" applyFill="1" applyBorder="1" applyAlignment="1">
      <x:alignment wrapText="1"/>
    </x:xf>
    <x:xf numFmtId="0" fontId="0" fillId="46" borderId="0" xfId="0" applyNumberFormat="1" applyFont="1" applyFill="1" applyBorder="1"/>
    <x:xf numFmtId="0" fontId="7" fillId="46" borderId="0" xfId="0" applyNumberFormat="1" applyFont="1" applyFill="1" applyBorder="1"/>
    <x:xf numFmtId="0" fontId="0" fillId="47" borderId="0" xfId="0" applyNumberFormat="1" applyFont="1" applyFill="1" applyBorder="1"/>
    <x:xf numFmtId="0" fontId="7" fillId="47" borderId="0" xfId="0" applyNumberFormat="1" applyFont="1" applyFill="1" applyBorder="1"/>
    <x:xf numFmtId="0" fontId="0" fillId="48" borderId="0" xfId="0" applyNumberFormat="1" applyFont="1" applyFill="1" applyBorder="1"/>
    <x:xf numFmtId="0" fontId="0" fillId="48" borderId="0" xfId="0" applyNumberFormat="1" applyFont="1" applyFill="1" applyBorder="1" applyAlignment="1">
      <x:alignment wrapText="1"/>
    </x:xf>
    <x:xf numFmtId="0" fontId="0" fillId="49" borderId="0" xfId="0" applyNumberFormat="1" applyFont="1" applyFill="1" applyBorder="1"/>
    <x:xf numFmtId="0" fontId="10" fillId="49" borderId="0" xfId="0" applyNumberFormat="1" applyFont="1" applyFill="1" applyBorder="1"/>
    <x:xf numFmtId="0" fontId="10" fillId="49" borderId="0" xfId="0" applyNumberFormat="1" applyFont="1" applyFill="1" applyBorder="1" applyAlignment="1">
      <x:alignment wrapText="1"/>
    </x:xf>
    <x:xf numFmtId="0" fontId="7" fillId="44" borderId="0" xfId="0" applyNumberFormat="1" applyFont="1" applyFill="1" applyBorder="1"/>
    <x:xf numFmtId="0" fontId="7" fillId="46" borderId="0" xfId="0" applyNumberFormat="1" applyFont="1" applyFill="1" applyBorder="1" applyAlignment="1">
      <x:alignment wrapText="1"/>
    </x:xf>
    <x:xf numFmtId="0" fontId="7" fillId="44" borderId="0" xfId="0" applyNumberFormat="1" applyFont="1" applyFill="1" applyBorder="1" applyAlignment="1">
      <x:alignment wrapText="1"/>
    </x:xf>
    <x:xf numFmtId="0" fontId="0" fillId="45" borderId="0" xfId="0" applyNumberFormat="1" applyFont="1" applyFill="1" applyBorder="1" applyAlignment="1">
      <x:alignment wrapText="1"/>
    </x:xf>
    <x:xf numFmtId="0" fontId="0" fillId="50" borderId="0" xfId="0" applyNumberFormat="1" applyFont="1" applyFill="1" applyBorder="1" applyAlignment="1">
      <x:alignment wrapText="1"/>
    </x:xf>
    <x:xf numFmtId="0" fontId="0" fillId="49" borderId="0" xfId="0" applyNumberFormat="1" applyFont="1" applyFill="1" applyBorder="1" applyAlignment="1">
      <x:alignment wrapText="1"/>
    </x:xf>
    <x:xf numFmtId="0" fontId="0" fillId="44" borderId="0" xfId="0" applyNumberFormat="1" applyFont="1" applyFill="1" applyBorder="1" applyAlignment="1">
      <x:alignment wrapText="1"/>
    </x:xf>
    <x:xf numFmtId="0" fontId="1" fillId="44" borderId="0" xfId="0" applyNumberFormat="1" applyFont="1" applyFill="1" applyBorder="1" applyAlignment="1">
      <x:alignment wrapText="1"/>
    </x:xf>
    <x:xf numFmtId="0" fontId="7" fillId="47" borderId="0" xfId="0" applyNumberFormat="1" applyFont="1" applyFill="1" applyBorder="1" applyAlignment="1">
      <x:alignment wrapText="1"/>
    </x:xf>
    <x:xf numFmtId="0" fontId="27" fillId="44" borderId="0" xfId="0" applyNumberFormat="1" applyFont="1" applyFill="1" applyBorder="1"/>
    <x:xf numFmtId="0" fontId="27" fillId="44" borderId="0" xfId="0" applyNumberFormat="1" applyFont="1" applyFill="1" applyBorder="1" applyAlignment="1">
      <x:alignment wrapText="1"/>
    </x:xf>
    <x:xf numFmtId="219" fontId="0" fillId="0" borderId="0" xfId="0" applyNumberFormat="1" applyFont="1" applyFill="1" applyBorder="1"/>
    <x:xf numFmtId="220" fontId="0" fillId="0" borderId="0" xfId="0" applyNumberFormat="1" applyFont="1" applyFill="1" applyBorder="1"/>
    <x:xf numFmtId="219" fontId="0" fillId="0" borderId="0" xfId="0" applyNumberFormat="1" applyFont="1" applyFill="1" applyBorder="1" applyAlignment="1">
      <x:alignment wrapText="1"/>
    </x:xf>
    <x:xf numFmtId="206" fontId="0" fillId="0" borderId="0" xfId="0" applyNumberFormat="1" applyFont="1" applyFill="1" applyBorder="1" applyAlignment="1">
      <x:alignment wrapText="1"/>
    </x:xf>
    <x:xf numFmtId="220" fontId="0" fillId="0" borderId="0" xfId="0" applyNumberFormat="1" applyFont="1" applyFill="1" applyBorder="1" applyAlignment="1">
      <x:alignment wrapText="1"/>
    </x:xf>
    <x:xf numFmtId="0" fontId="25" fillId="44" borderId="0" xfId="0" applyNumberFormat="1" applyFont="1" applyFill="1" applyBorder="1"/>
    <x:xf numFmtId="0" fontId="10" fillId="48" borderId="0" xfId="0" applyNumberFormat="1" applyFont="1" applyFill="1" applyBorder="1"/>
    <x:xf numFmtId="0" fontId="10" fillId="48" borderId="0" xfId="0" applyNumberFormat="1" applyFont="1" applyFill="1" applyBorder="1" applyAlignment="1">
      <x:alignment wrapText="1"/>
    </x:xf>
    <x:xf numFmtId="0" fontId="25" fillId="44" borderId="0" xfId="0" applyNumberFormat="1" applyFont="1" applyFill="1" applyBorder="1" applyAlignment="1">
      <x:alignment wrapText="1"/>
    </x:xf>
    <x:xf numFmtId="0" fontId="0" fillId="44" borderId="0" xfId="0" applyNumberFormat="1" applyFont="1" applyFill="1" applyBorder="1" applyAlignment="1">
      <x:alignment vertical="top"/>
    </x:xf>
    <x:xf numFmtId="0" fontId="7" fillId="44" borderId="0" xfId="0" applyNumberFormat="1" applyFont="1" applyFill="1" applyBorder="1" applyAlignment="1">
      <x:alignment vertical="top"/>
    </x:xf>
    <x:xf numFmtId="0" fontId="0" fillId="45" borderId="0" xfId="0" applyNumberFormat="1" applyFont="1" applyFill="1" applyBorder="1" applyAlignment="1">
      <x:alignment vertical="top"/>
    </x:xf>
    <x:xf numFmtId="0" fontId="10" fillId="45" borderId="0" xfId="0" applyNumberFormat="1" applyFont="1" applyFill="1" applyBorder="1" applyAlignment="1">
      <x:alignment vertical="top"/>
    </x:xf>
    <x:xf numFmtId="0" fontId="10" fillId="45" borderId="0" xfId="0" applyNumberFormat="1" applyFont="1" applyFill="1" applyBorder="1" applyAlignment="1">
      <x:alignment vertical="top" wrapText="1"/>
    </x:xf>
    <x:xf numFmtId="0" fontId="0" fillId="51" borderId="0" xfId="0" applyNumberFormat="1" applyFont="1" applyFill="1" applyBorder="1" applyAlignment="1">
      <x:alignment vertical="top"/>
    </x:xf>
    <x:xf numFmtId="0" fontId="0" fillId="51" borderId="0" xfId="0" applyNumberFormat="1" applyFont="1" applyFill="1" applyBorder="1" applyAlignment="1">
      <x:alignment vertical="top" wrapText="1"/>
    </x:xf>
    <x:xf numFmtId="0" fontId="10" fillId="45" borderId="0" xfId="0" applyNumberFormat="1" applyFont="1" applyFill="1" applyBorder="1"/>
    <x:xf numFmtId="0" fontId="10" fillId="45" borderId="0" xfId="0" applyNumberFormat="1" applyFont="1" applyFill="1" applyBorder="1" applyAlignment="1">
      <x:alignment wrapText="1"/>
    </x:xf>
    <x:xf numFmtId="0" fontId="0" fillId="51" borderId="0" xfId="0" applyNumberFormat="1" applyFont="1" applyFill="1" applyBorder="1"/>
    <x:xf numFmtId="0" fontId="0" fillId="51" borderId="0" xfId="0" applyNumberFormat="1" applyFont="1" applyFill="1" applyBorder="1" applyAlignment="1">
      <x:alignment wrapText="1"/>
    </x:xf>
    <x:xf numFmtId="0" fontId="1" fillId="39" borderId="0" xfId="0" applyNumberFormat="1" applyFont="1" applyFill="1" applyBorder="1"/>
    <x:xf numFmtId="0" fontId="26" fillId="41" borderId="0" xfId="0" applyNumberFormat="1" applyFont="1" applyFill="1" applyBorder="1"/>
    <x:xf numFmtId="0" fontId="26" fillId="41" borderId="0" xfId="0" applyNumberFormat="1" applyFont="1" applyFill="1" applyBorder="1" applyAlignment="1">
      <x:alignment wrapText="1"/>
    </x:xf>
    <x:xf numFmtId="0" fontId="10" fillId="40" borderId="0" xfId="0" applyNumberFormat="1" applyFont="1" applyFill="1" applyBorder="1"/>
    <x:xf numFmtId="0" fontId="10" fillId="40" borderId="0" xfId="0" applyNumberFormat="1" applyFont="1" applyFill="1" applyBorder="1" applyAlignment="1">
      <x:alignment wrapText="1"/>
    </x:xf>
    <x:xf numFmtId="0" fontId="7" fillId="39" borderId="0" xfId="0" applyNumberFormat="1" applyFont="1" applyFill="1" applyBorder="1"/>
    <x:xf numFmtId="0" fontId="0" fillId="40" borderId="0" xfId="0" applyNumberFormat="1" applyFont="1" applyFill="1" applyBorder="1" applyAlignment="1">
      <x:alignment wrapText="1"/>
    </x:xf>
    <x:xf numFmtId="0" fontId="1" fillId="39" borderId="0" xfId="0" applyNumberFormat="1" applyFont="1" applyFill="1" applyBorder="1" applyAlignment="1">
      <x:alignment wrapText="1"/>
    </x:xf>
    <x:xf numFmtId="0" fontId="27" fillId="39" borderId="0" xfId="0" applyNumberFormat="1" applyFont="1" applyFill="1" applyBorder="1"/>
    <x:xf numFmtId="0" fontId="27" fillId="39" borderId="0" xfId="0" applyNumberFormat="1" applyFont="1" applyFill="1" applyBorder="1" applyAlignment="1">
      <x:alignment wrapText="1"/>
    </x:xf>
    <x:xf numFmtId="0" fontId="7" fillId="39" borderId="0" xfId="0" applyNumberFormat="1" applyFont="1" applyFill="1" applyBorder="1" applyAlignment="1">
      <x:alignment vertical="top"/>
    </x:xf>
    <x:xf numFmtId="0" fontId="0" fillId="41" borderId="0" xfId="0" applyNumberFormat="1" applyFont="1" applyFill="1" applyBorder="1" applyAlignment="1">
      <x:alignment vertical="top"/>
    </x:xf>
    <x:xf numFmtId="0" fontId="10" fillId="41" borderId="0" xfId="0" applyNumberFormat="1" applyFont="1" applyFill="1" applyBorder="1" applyAlignment="1">
      <x:alignment vertical="top"/>
    </x:xf>
    <x:xf numFmtId="0" fontId="10" fillId="41" borderId="0" xfId="0" applyNumberFormat="1" applyFont="1" applyFill="1" applyBorder="1" applyAlignment="1">
      <x:alignment vertical="top" wrapText="1"/>
    </x:xf>
    <x:xf numFmtId="0" fontId="0" fillId="42" borderId="0" xfId="0" applyNumberFormat="1" applyFont="1" applyFill="1" applyBorder="1" applyAlignment="1">
      <x:alignment vertical="top"/>
    </x:xf>
    <x:xf numFmtId="0" fontId="10" fillId="41" borderId="0" xfId="0" applyNumberFormat="1" applyFont="1" applyFill="1" applyBorder="1"/>
    <x:xf numFmtId="0" fontId="10" fillId="41" borderId="0" xfId="0" applyNumberFormat="1" applyFont="1" applyFill="1" applyBorder="1" applyAlignment="1">
      <x:alignment wrapText="1"/>
    </x:xf>
    <x:xf numFmtId="0" fontId="0" fillId="42" borderId="0" xfId="0" applyNumberFormat="1" applyFont="1" applyFill="1" applyBorder="1"/>
    <x:xf numFmtId="0" fontId="7" fillId="52" borderId="0" xfId="0" applyNumberFormat="1" applyFont="1" applyFill="1" applyBorder="1" applyAlignment="1">
      <x:alignment vertical="top"/>
    </x:xf>
    <x:xf numFmtId="0" fontId="10" fillId="52" borderId="0" xfId="0" applyNumberFormat="1" applyFont="1" applyFill="1" applyBorder="1" applyAlignment="1">
      <x:alignment vertical="top" wrapText="1"/>
    </x:xf>
    <x:xf numFmtId="0" fontId="0" fillId="52" borderId="0" xfId="0" applyNumberFormat="1" applyFont="1" applyFill="1" applyBorder="1" applyAlignment="1">
      <x:alignment vertical="top" wrapText="1"/>
    </x:xf>
    <x:xf numFmtId="0" fontId="0" fillId="52" borderId="0" xfId="0" applyNumberFormat="1" applyFont="1" applyFill="1" applyBorder="1" applyAlignment="1">
      <x:alignment vertical="top"/>
    </x:xf>
    <x:xf numFmtId="0" fontId="0" fillId="52" borderId="0" xfId="0" applyNumberFormat="1" applyFont="1" applyFill="1" applyBorder="1"/>
    <x:xf numFmtId="0" fontId="28" fillId="52" borderId="0" xfId="0" applyNumberFormat="1" applyFont="1" applyFill="1" applyBorder="1" applyAlignment="1">
      <x:alignment vertical="top"/>
    </x:xf>
    <x:xf numFmtId="0" fontId="28" fillId="52" borderId="0" xfId="0" applyNumberFormat="1" applyFont="1" applyFill="1" applyBorder="1" applyAlignment="1">
      <x:alignment vertical="top" wrapText="1"/>
    </x:xf>
    <x:xf numFmtId="0" fontId="28" fillId="52" borderId="0" xfId="0" applyNumberFormat="1" applyFont="1" applyFill="1" applyBorder="1"/>
    <x:xf numFmtId="0" fontId="28" fillId="52" xfId="0" applyNumberFormat="1" applyFont="1" applyFill="1" applyBorder="0" applyAlignment="1">
      <x:alignment vertical="top"/>
    </x:xf>
    <x:xf numFmtId="0" fontId="28" fillId="52" xfId="0" applyNumberFormat="1" applyFont="1" applyFill="1" applyBorder="0" applyAlignment="1">
      <x:alignment vertical="top" wrapText="1"/>
    </x:xf>
    <x:xf numFmtId="0" fontId="28" fillId="52" xfId="0" applyNumberFormat="1" applyFont="1" applyFill="1" applyBorder="0"/>
    <x:xf numFmtId="0" fontId="7" fillId="52" borderId="0" xfId="0" applyNumberFormat="1" applyFont="1" applyFill="1" applyBorder="1"/>
    <x:xf numFmtId="0" fontId="10" fillId="52" borderId="0" xfId="0" applyNumberFormat="1" applyFont="1" applyFill="1" applyBorder="1" applyAlignment="1">
      <x:alignment wrapText="1"/>
    </x:xf>
    <x:xf numFmtId="0" fontId="0" fillId="52" borderId="0" xfId="0" applyNumberFormat="1" applyFont="1" applyFill="1" applyBorder="1" applyAlignment="1">
      <x:alignment wrapText="1"/>
    </x:xf>
    <x:xf numFmtId="0" fontId="28" fillId="52" borderId="0" xfId="0" applyNumberFormat="1" applyFont="1" applyFill="1" applyBorder="1" applyAlignment="1">
      <x:alignment wrapText="1"/>
    </x:xf>
    <x:xf numFmtId="0" fontId="28" fillId="52" xfId="0" applyNumberFormat="1" applyFont="1" applyFill="1" applyBorder="0" applyAlignment="1">
      <x:alignment wrapText="1"/>
    </x:xf>
    <x:xf numFmtId="0" fontId="0" fillId="53" borderId="0" xfId="0" applyNumberFormat="1" applyFont="1" applyFill="1" applyBorder="1"/>
    <x:xf numFmtId="0" fontId="27" fillId="53" borderId="0" xfId="0" applyNumberFormat="1" applyFont="1" applyFill="1" applyBorder="1"/>
    <x:xf numFmtId="0" fontId="27" fillId="53" borderId="0" xfId="0" applyNumberFormat="1" applyFont="1" applyFill="1" applyBorder="1" applyAlignment="1">
      <x:alignment wrapText="1"/>
    </x:xf>
    <x:xf numFmtId="0" fontId="27" fillId="53" borderId="0" xfId="0" applyNumberFormat="1" applyFont="1" applyFill="1" applyBorder="1" applyAlignment="1">
      <x:alignment vertical="center" wrapText="1"/>
    </x:xf>
    <x:xf numFmtId="0" fontId="0" fillId="54" borderId="0" xfId="0" applyNumberFormat="1" applyFont="1" applyFill="1" applyBorder="1"/>
    <x:xf numFmtId="0" fontId="0" fillId="54" borderId="0" xfId="0" applyNumberFormat="1" applyFont="1" applyFill="1" applyBorder="1" applyAlignment="1">
      <x:alignment wrapText="1"/>
    </x:xf>
    <x:xf numFmtId="0" fontId="29" fillId="53" borderId="0" xfId="0" applyNumberFormat="1" applyFont="1" applyFill="1" applyBorder="1"/>
    <x:xf numFmtId="0" fontId="29" fillId="53" borderId="0" xfId="0" applyNumberFormat="1" applyFont="1" applyFill="1" applyBorder="1" applyAlignment="1">
      <x:alignment wrapText="1"/>
    </x:xf>
    <x:xf numFmtId="0" fontId="29" fillId="53" borderId="0" xfId="0" applyNumberFormat="1" applyFont="1" applyFill="1" applyBorder="1" applyAlignment="1">
      <x:alignment vertical="center" wrapText="1"/>
    </x:xf>
    <x:xf numFmtId="0" fontId="0" fillId="55" borderId="0" xfId="0" applyNumberFormat="1" applyFont="1" applyFill="1" applyBorder="1"/>
    <x:xf numFmtId="0" fontId="10" fillId="55" borderId="0" xfId="0" applyNumberFormat="1" applyFont="1" applyFill="1" applyBorder="1"/>
    <x:xf numFmtId="0" fontId="10" fillId="55" borderId="0" xfId="0" applyNumberFormat="1" applyFont="1" applyFill="1" applyBorder="1" applyAlignment="1">
      <x:alignment wrapText="1"/>
    </x:xf>
    <x:xf numFmtId="0" fontId="0" fillId="56" borderId="0" xfId="0" applyNumberFormat="1" applyFont="1" applyFill="1" applyBorder="1"/>
    <x:xf numFmtId="0" fontId="7" fillId="56" borderId="0" xfId="0" applyNumberFormat="1" applyFont="1" applyFill="1" applyBorder="1"/>
    <x:xf numFmtId="0" fontId="7" fillId="56" borderId="0" xfId="0" applyNumberFormat="1" applyFont="1" applyFill="1" applyBorder="1" applyAlignment="1">
      <x:alignment wrapText="1"/>
    </x:xf>
    <x:xf numFmtId="0" fontId="7" fillId="56" borderId="0" xfId="0" applyNumberFormat="1" applyFont="1" applyFill="1" applyBorder="1" applyAlignment="1">
      <x:alignment horizontal="center" wrapText="1"/>
    </x:xf>
    <x:xf numFmtId="0" fontId="7" fillId="56" borderId="0" xfId="0" applyNumberFormat="1" applyFont="1" applyFill="1" applyBorder="1" applyAlignment="1">
      <x:alignment horizontal="center" vertical="center" wrapText="1"/>
    </x:xf>
    <x:xf numFmtId="0" fontId="10" fillId="54" borderId="0" xfId="0" applyNumberFormat="1" applyFont="1" applyFill="1" applyBorder="1" applyAlignment="1">
      <x:alignment wrapText="1"/>
    </x:xf>
    <x:xf numFmtId="0" fontId="10" fillId="54" borderId="0" xfId="0" applyNumberFormat="1" applyFont="1" applyFill="1" applyBorder="1" applyAlignment="1">
      <x:alignment horizontal="center" wrapText="1"/>
    </x:xf>
    <x:xf numFmtId="0" fontId="0" fillId="57" borderId="0" xfId="0" applyNumberFormat="1" applyFont="1" applyFill="1" applyBorder="1"/>
    <x:xf numFmtId="0" fontId="0" fillId="57" borderId="0" xfId="0" applyNumberFormat="1" applyFont="1" applyFill="1" applyBorder="1" applyAlignment="1">
      <x:alignment wrapText="1"/>
    </x:xf>
    <x:xf numFmtId="0" fontId="20" fillId="54" borderId="0" xfId="0" applyNumberFormat="1" applyFont="1" applyFill="1" applyBorder="1" applyAlignment="1">
      <x:alignment horizontal="left" vertical="center" wrapText="1"/>
    </x:xf>
    <x:xf numFmtId="0" fontId="20" fillId="57" borderId="0" xfId="0" applyNumberFormat="1" applyFont="1" applyFill="1" applyBorder="1" applyAlignment="1">
      <x:alignment vertical="center" wrapText="1"/>
    </x:xf>
    <x:xf numFmtId="0" fontId="7" fillId="53" borderId="0" xfId="0" applyNumberFormat="1" applyFont="1" applyFill="1" applyBorder="1" applyAlignment="1">
      <x:alignment vertical="center" wrapText="1"/>
    </x:xf>
    <x:xf numFmtId="205" fontId="7" fillId="53" borderId="0" xfId="0" applyNumberFormat="1" applyFont="1" applyFill="1" applyBorder="1" applyAlignment="1">
      <x:alignment vertical="center" wrapText="1"/>
    </x:xf>
    <x:xf numFmtId="205" fontId="29" fillId="53" borderId="0" xfId="0" applyNumberFormat="1" applyFont="1" applyFill="1" applyBorder="1" applyAlignment="1">
      <x:alignment vertical="center" wrapText="1"/>
    </x:xf>
    <x:xf numFmtId="0" fontId="6" fillId="54" borderId="0" xfId="0" applyNumberFormat="1" applyFont="1" applyFill="1" applyBorder="1" applyAlignment="1">
      <x:alignment horizontal="left" vertical="center" wrapText="1"/>
    </x:xf>
    <x:xf numFmtId="205" fontId="6" fillId="54" borderId="0" xfId="0" applyNumberFormat="1" applyFont="1" applyFill="1" applyBorder="1" applyAlignment="1">
      <x:alignment horizontal="left" vertical="center" wrapText="1"/>
    </x:xf>
    <x:xf numFmtId="0" fontId="7" fillId="54" borderId="0" xfId="0" applyNumberFormat="1" applyFont="1" applyFill="1" applyBorder="1" applyAlignment="1">
      <x:alignment horizontal="left" vertical="center" wrapText="1"/>
    </x:xf>
    <x:xf numFmtId="0" fontId="6" fillId="54" borderId="0" xfId="0" applyNumberFormat="1" applyFont="1" applyFill="1" applyBorder="1" applyAlignment="1">
      <x:alignment vertical="center" wrapText="1"/>
    </x:xf>
    <x:xf numFmtId="205" fontId="6" fillId="54" borderId="0" xfId="0" applyNumberFormat="1" applyFont="1" applyFill="1" applyBorder="1" applyAlignment="1">
      <x:alignment vertical="center" wrapText="1"/>
    </x:xf>
    <x:xf numFmtId="0" fontId="0" fillId="54" borderId="0" xfId="0" applyNumberFormat="1" applyFont="1" applyFill="1" applyBorder="1" applyAlignment="1">
      <x:alignment vertical="center" wrapText="1"/>
    </x:xf>
    <x:xf numFmtId="0" fontId="6" fillId="57" borderId="0" xfId="0" applyNumberFormat="1" applyFont="1" applyFill="1" applyBorder="1" applyAlignment="1">
      <x:alignment vertical="center" wrapText="1"/>
    </x:xf>
    <x:xf numFmtId="205" fontId="6" fillId="57" borderId="0" xfId="0" applyNumberFormat="1" applyFont="1" applyFill="1" applyBorder="1" applyAlignment="1">
      <x:alignment vertical="center" wrapText="1"/>
    </x:xf>
    <x:xf numFmtId="0" fontId="0" fillId="57" borderId="0" xfId="0" applyNumberFormat="1" applyFont="1" applyFill="1" applyBorder="1" applyAlignment="1">
      <x:alignment vertical="center" wrapText="1"/>
    </x:xf>
    <x:xf numFmtId="0" fontId="23" fillId="53" borderId="0" xfId="0" applyNumberFormat="1" applyFont="1" applyFill="1" applyBorder="1"/>
    <x:xf numFmtId="0" fontId="23" fillId="53" borderId="0" xfId="0" applyNumberFormat="1" applyFont="1" applyFill="1" applyBorder="1" applyAlignment="1">
      <x:alignment wrapText="1"/>
    </x:xf>
    <x:xf numFmtId="0" fontId="23" fillId="53" borderId="0" xfId="0" applyNumberFormat="1" applyFont="1" applyFill="1" applyBorder="1" applyAlignment="1">
      <x:alignment vertical="center" wrapText="1"/>
    </x:xf>
    <x:xf numFmtId="216" fontId="11" fillId="0" borderId="0" xfId="0" applyNumberFormat="1" applyFont="1" applyFill="1" applyBorder="1"/>
    <x:xf numFmtId="218" fontId="11" fillId="0" borderId="0" xfId="0" applyNumberFormat="1" applyFont="1" applyFill="1" applyBorder="1"/>
    <x:xf numFmtId="215" fontId="11" fillId="0" borderId="0" xfId="0" applyNumberFormat="1" applyFont="1" applyFill="1" applyBorder="1"/>
    <x:xf numFmtId="214" fontId="11" fillId="0" borderId="0" xfId="0" applyNumberFormat="1" applyFont="1" applyFill="1" applyBorder="1"/>
    <x:xf numFmtId="216" fontId="11" fillId="0" borderId="0" xfId="0" applyNumberFormat="1" applyFont="1" applyFill="1" applyBorder="1" applyAlignment="1">
      <x:alignment wrapText="1"/>
    </x:xf>
    <x:xf numFmtId="218" fontId="11" fillId="0" borderId="0" xfId="0" applyNumberFormat="1" applyFont="1" applyFill="1" applyBorder="1" applyAlignment="1">
      <x:alignment wrapText="1"/>
    </x:xf>
    <x:xf numFmtId="215" fontId="11" fillId="0" borderId="0" xfId="0" applyNumberFormat="1" applyFont="1" applyFill="1" applyBorder="1" applyAlignment="1">
      <x:alignment wrapText="1"/>
    </x:xf>
    <x:xf numFmtId="214" fontId="11" fillId="0" borderId="0" xfId="0" applyNumberFormat="1" applyFont="1" applyFill="1" applyBorder="1" applyAlignment="1">
      <x:alignment wrapText="1"/>
    </x:xf>
    <x:xf numFmtId="0" fontId="11" fillId="57" borderId="0" xfId="0" applyNumberFormat="1" applyFont="1" applyFill="1" applyBorder="1" applyAlignment="1">
      <x:alignment wrapText="1"/>
    </x:xf>
    <x:xf numFmtId="0" fontId="0" fillId="58" borderId="0" xfId="0" applyNumberFormat="1" applyFont="1" applyFill="1" applyBorder="1"/>
    <x:xf numFmtId="0" fontId="0" fillId="58" borderId="0" xfId="0" applyNumberFormat="1" applyFont="1" applyFill="1" applyBorder="1" applyAlignment="1">
      <x:alignment wrapText="1"/>
    </x:xf>
    <x:xf numFmtId="0" fontId="14" fillId="54" borderId="0" xfId="0" applyNumberFormat="1" applyFont="1" applyFill="1" applyBorder="1" applyAlignment="1">
      <x:alignment wrapText="1"/>
    </x:xf>
    <x:xf numFmtId="214" fontId="14" fillId="54" borderId="0" xfId="0" applyNumberFormat="1" applyFont="1" applyFill="1" applyBorder="1" applyAlignment="1">
      <x:alignment wrapText="1"/>
    </x:xf>
    <x:xf numFmtId="0" fontId="10" fillId="57" borderId="0" xfId="0" applyNumberFormat="1" applyFont="1" applyFill="1" applyBorder="1" applyAlignment="1">
      <x:alignment wrapText="1"/>
    </x:xf>
    <x:xf numFmtId="0" fontId="30" fillId="57" borderId="0" xfId="0" applyNumberFormat="1" applyFont="1" applyFill="1" applyBorder="1"/>
    <x:xf numFmtId="0" fontId="30" fillId="57" borderId="0" xfId="0" applyNumberFormat="1" applyFont="1" applyFill="1" applyBorder="1" applyAlignment="1">
      <x:alignment wrapText="1"/>
    </x:xf>
    <x:xf numFmtId="0" fontId="30" fillId="57" borderId="0" xfId="0" applyNumberFormat="1" applyFont="1" applyFill="1" applyBorder="1" applyAlignment="1">
      <x:alignment vertical="center" wrapText="1"/>
    </x:xf>
    <x:xf numFmtId="0" fontId="31" fillId="53" borderId="0" xfId="0" applyNumberFormat="1" applyFont="1" applyFill="1" applyBorder="1"/>
    <x:xf numFmtId="0" fontId="31" fillId="53" borderId="0" xfId="0" applyNumberFormat="1" applyFont="1" applyFill="1" applyBorder="1" applyAlignment="1">
      <x:alignment wrapText="1"/>
    </x:xf>
    <x:xf numFmtId="0" fontId="31" fillId="53" borderId="0" xfId="0" applyNumberFormat="1" applyFont="1" applyFill="1" applyBorder="1" applyAlignment="1">
      <x:alignment vertical="center" wrapText="1"/>
    </x:xf>
    <x:xf numFmtId="0" fontId="26" fillId="54" borderId="0" xfId="0" applyNumberFormat="1" applyFont="1" applyFill="1" applyBorder="1"/>
    <x:xf numFmtId="0" fontId="26" fillId="54" borderId="0" xfId="0" applyNumberFormat="1" applyFont="1" applyFill="1" applyBorder="1" applyAlignment="1">
      <x:alignment wrapText="1"/>
    </x:xf>
    <x:xf numFmtId="0" fontId="32" fillId="54" borderId="0" xfId="0" applyNumberFormat="1" applyFont="1" applyFill="1" applyBorder="1"/>
    <x:xf numFmtId="0" fontId="32" fillId="54" borderId="0" xfId="0" applyNumberFormat="1" applyFont="1" applyFill="1" applyBorder="1" applyAlignment="1">
      <x:alignment wrapText="1"/>
    </x:xf>
    <x:xf numFmtId="0" fontId="32" fillId="54" borderId="0" xfId="0" applyNumberFormat="1" applyFont="1" applyFill="1" applyBorder="1" applyAlignment="1">
      <x:alignment vertical="center" wrapText="1"/>
    </x:xf>
    <x:xf numFmtId="221" fontId="11" fillId="0" borderId="0" xfId="0" applyNumberFormat="1" applyFont="1" applyFill="1" applyBorder="1"/>
    <x:xf numFmtId="221" fontId="11" fillId="0" borderId="0" xfId="0" applyNumberFormat="1" applyFont="1" applyFill="1" applyBorder="1" applyAlignment="1">
      <x:alignment wrapText="1"/>
    </x:xf>
    <x:xf numFmtId="0" fontId="32" fillId="55" borderId="0" xfId="0" applyNumberFormat="1" applyFont="1" applyFill="1" applyBorder="1"/>
    <x:xf numFmtId="0" fontId="32" fillId="55" borderId="0" xfId="0" applyNumberFormat="1" applyFont="1" applyFill="1" applyBorder="1" applyAlignment="1">
      <x:alignment wrapText="1"/>
    </x:xf>
    <x:xf numFmtId="0" fontId="32" fillId="55" borderId="0" xfId="0" applyNumberFormat="1" applyFont="1" applyFill="1" applyBorder="1" applyAlignment="1">
      <x:alignment horizontal="center" wrapText="1"/>
    </x:xf>
    <x:xf numFmtId="0" fontId="32" fillId="55" borderId="0" xfId="0" applyNumberFormat="1" applyFont="1" applyFill="1" applyBorder="1" applyAlignment="1">
      <x:alignment horizontal="center" vertical="center" wrapText="1"/>
    </x:xf>
    <x:xf numFmtId="0" fontId="0" fillId="52" borderId="0" xfId="0" applyNumberFormat="1" applyFont="1" applyFill="1" applyBorder="1" applyAlignment="1">
      <x:alignment vertical="center" wrapText="1"/>
    </x:xf>
    <x:xf numFmtId="217" fontId="11" fillId="0" borderId="0" xfId="0" applyNumberFormat="1" applyFont="1" applyFill="1" applyBorder="1"/>
    <x:xf numFmtId="213" fontId="11" fillId="0" borderId="0" xfId="0" applyNumberFormat="1" applyFont="1" applyFill="1" applyBorder="1"/>
    <x:xf numFmtId="210" fontId="11" fillId="58" borderId="0" xfId="0" applyNumberFormat="1" applyFont="1" applyFill="1" applyBorder="1"/>
    <x:xf numFmtId="210" fontId="11" fillId="57" borderId="0" xfId="0" applyNumberFormat="1" applyFont="1" applyFill="1" applyBorder="1"/>
    <x:xf numFmtId="213" fontId="11" fillId="58" borderId="0" xfId="0" applyNumberFormat="1" applyFont="1" applyFill="1" applyBorder="1"/>
    <x:xf numFmtId="202" fontId="11" fillId="58" borderId="0" xfId="0" applyNumberFormat="1" applyFont="1" applyFill="1" applyBorder="1"/>
    <x:xf numFmtId="203" fontId="11" fillId="58" borderId="0" xfId="0" applyNumberFormat="1" applyFont="1" applyFill="1" applyBorder="1"/>
    <x:xf numFmtId="210" fontId="11" fillId="58" borderId="0" xfId="0" applyNumberFormat="1" applyFont="1" applyFill="1" applyBorder="1" applyAlignment="1">
      <x:alignment wrapText="1"/>
    </x:xf>
    <x:xf numFmtId="210" fontId="11" fillId="57" borderId="0" xfId="0" applyNumberFormat="1" applyFont="1" applyFill="1" applyBorder="1" applyAlignment="1">
      <x:alignment wrapText="1"/>
    </x:xf>
    <x:xf numFmtId="202" fontId="11" fillId="58" borderId="0" xfId="0" applyNumberFormat="1" applyFont="1" applyFill="1" applyBorder="1" applyAlignment="1">
      <x:alignment wrapText="1"/>
    </x:xf>
    <x:xf numFmtId="213" fontId="11" fillId="58" borderId="0" xfId="0" applyNumberFormat="1" applyFont="1" applyFill="1" applyBorder="1" applyAlignment="1">
      <x:alignment wrapText="1"/>
    </x:xf>
    <x:xf numFmtId="203" fontId="11" fillId="58" borderId="0" xfId="0" applyNumberFormat="1" applyFont="1" applyFill="1" applyBorder="1" applyAlignment="1">
      <x:alignment wrapText="1"/>
    </x:xf>
    <x:xf numFmtId="0" fontId="10" fillId="57" borderId="0" xfId="0" applyNumberFormat="1" applyFont="1" applyFill="1" applyBorder="1"/>
    <x:xf numFmtId="0" fontId="10" fillId="57" borderId="0" xfId="0" applyNumberFormat="1" applyFont="1" applyFill="1" applyBorder="1" applyAlignment="1">
      <x:alignment vertical="top" wrapText="1"/>
    </x:xf>
    <x:xf numFmtId="0" fontId="33" fillId="54" borderId="0" xfId="0" applyNumberFormat="1" applyFont="1" applyFill="1" applyBorder="1"/>
    <x:xf numFmtId="0" fontId="33" fillId="54" borderId="0" xfId="0" applyNumberFormat="1" applyFont="1" applyFill="1" applyBorder="1" applyAlignment="1">
      <x:alignment wrapText="1"/>
    </x:xf>
    <x:xf numFmtId="0" fontId="33" fillId="54" borderId="0" xfId="0" applyNumberFormat="1" applyFont="1" applyFill="1" applyBorder="1" applyAlignment="1">
      <x:alignment vertical="top" wrapText="1"/>
    </x:xf>
    <x:xf numFmtId="0" fontId="33" fillId="57" borderId="0" xfId="0" applyNumberFormat="1" applyFont="1" applyFill="1" applyBorder="1"/>
    <x:xf numFmtId="0" fontId="33" fillId="57" borderId="0" xfId="0" applyNumberFormat="1" applyFont="1" applyFill="1" applyBorder="1" applyAlignment="1">
      <x:alignment wrapText="1"/>
    </x:xf>
    <x:xf numFmtId="0" fontId="33" fillId="57" borderId="0" xfId="0" applyNumberFormat="1" applyFont="1" applyFill="1" applyBorder="1" applyAlignment="1">
      <x:alignment vertical="top" wrapText="1"/>
    </x:xf>
    <x:xf numFmtId="217" fontId="11" fillId="0" borderId="0" xfId="0" applyNumberFormat="1" applyFont="1" applyFill="1" applyBorder="1" applyAlignment="1">
      <x:alignment wrapText="1"/>
    </x:xf>
    <x:xf numFmtId="0" fontId="34" fillId="53" borderId="0" xfId="0" applyNumberFormat="1" applyFont="1" applyFill="1" applyBorder="1"/>
    <x:xf numFmtId="0" fontId="34" fillId="53" borderId="0" xfId="0" applyNumberFormat="1" applyFont="1" applyFill="1" applyBorder="1" applyAlignment="1">
      <x:alignment wrapText="1"/>
    </x:xf>
    <x:xf numFmtId="0" fontId="34" fillId="53" borderId="0" xfId="0" applyNumberFormat="1" applyFont="1" applyFill="1" applyBorder="1" applyAlignment="1">
      <x:alignment vertical="center" wrapText="1"/>
    </x:xf>
    <x:xf numFmtId="222" fontId="0" fillId="0" borderId="0" xfId="0" applyNumberFormat="1" applyFont="1" applyFill="1" applyBorder="1"/>
    <x:xf numFmtId="222" fontId="0" fillId="0" borderId="0" xfId="0" applyNumberFormat="1" applyFont="1" applyFill="1" applyBorder="1" applyAlignment="1">
      <x:alignment wrapText="1"/>
    </x:xf>
    <x:xf numFmtId="223" fontId="11" fillId="0" borderId="0" xfId="0" applyNumberFormat="1" applyFont="1" applyFill="1" applyBorder="1" applyAlignment="1">
      <x:alignment wrapText="1"/>
    </x:xf>
    <x:xf numFmtId="0" fontId="35" fillId="54" borderId="0" xfId="0" applyNumberFormat="1" applyFont="1" applyFill="1" applyBorder="1" applyAlignment="1">
      <x:alignment wrapText="1"/>
    </x:xf>
    <x:xf numFmtId="0" fontId="35" fillId="54" borderId="0" xfId="0" applyNumberFormat="1" applyFont="1" applyFill="1" applyBorder="1" applyAlignment="1">
      <x:alignment vertical="center" wrapText="1"/>
    </x:xf>
    <x:xf numFmtId="0" fontId="7" fillId="42" borderId="0" xfId="0" applyNumberFormat="1" applyFont="1" applyFill="1" applyBorder="1" applyAlignment="1">
      <x:alignment vertical="top"/>
    </x:xf>
    <x:xf numFmtId="0" fontId="10" fillId="42" borderId="0" xfId="0" applyNumberFormat="1" applyFont="1" applyFill="1" applyBorder="1" applyAlignment="1">
      <x:alignment vertical="top" wrapText="1"/>
    </x:xf>
    <x:xf numFmtId="0" fontId="9" fillId="42" borderId="0" xfId="0" applyNumberFormat="1" applyFont="1" applyFill="1" applyBorder="1" applyAlignment="1">
      <x:alignment vertical="top"/>
    </x:xf>
    <x:xf numFmtId="0" fontId="9" fillId="42" borderId="0" xfId="0" applyNumberFormat="1" applyFont="1" applyFill="1" applyBorder="1"/>
    <x:xf numFmtId="0" fontId="9" fillId="42" xfId="0" applyNumberFormat="1" applyFont="1" applyFill="1" applyBorder="0" applyAlignment="1">
      <x:alignment vertical="top"/>
    </x:xf>
    <x:xf numFmtId="0" fontId="9" fillId="42" xfId="0" applyNumberFormat="1" applyFont="1" applyFill="1" applyBorder="0" applyAlignment="1">
      <x:alignment vertical="top" wrapText="1"/>
    </x:xf>
    <x:xf numFmtId="0" fontId="9" fillId="42" xfId="0" applyNumberFormat="1" applyFont="1" applyFill="1" applyBorder="0"/>
    <x:xf numFmtId="0" fontId="7" fillId="42" borderId="0" xfId="0" applyNumberFormat="1" applyFont="1" applyFill="1" applyBorder="1"/>
    <x:xf numFmtId="0" fontId="10" fillId="42" borderId="0" xfId="0" applyNumberFormat="1" applyFont="1" applyFill="1" applyBorder="1" applyAlignment="1">
      <x:alignment wrapText="1"/>
    </x:xf>
    <x:xf numFmtId="0" fontId="9" fillId="42" xfId="0" applyNumberFormat="1" applyFont="1" applyFill="1" applyBorder="0" applyAlignment="1">
      <x:alignment wrapText="1"/>
    </x:xf>
    <x:xf numFmtId="0" fontId="27" fillId="39" borderId="0" xfId="0" applyNumberFormat="1" applyFont="1" applyFill="1" applyBorder="1" applyAlignment="1">
      <x:alignment vertical="center" wrapText="1"/>
    </x:xf>
    <x:xf numFmtId="0" fontId="29" fillId="39" borderId="0" xfId="0" applyNumberFormat="1" applyFont="1" applyFill="1" applyBorder="1"/>
    <x:xf numFmtId="0" fontId="29" fillId="39" borderId="0" xfId="0" applyNumberFormat="1" applyFont="1" applyFill="1" applyBorder="1" applyAlignment="1">
      <x:alignment wrapText="1"/>
    </x:xf>
    <x:xf numFmtId="0" fontId="29" fillId="39" borderId="0" xfId="0" applyNumberFormat="1" applyFont="1" applyFill="1" applyBorder="1" applyAlignment="1">
      <x:alignment vertical="center" wrapText="1"/>
    </x:xf>
    <x:xf numFmtId="0" fontId="7" fillId="38" borderId="0" xfId="0" applyNumberFormat="1" applyFont="1" applyFill="1" applyBorder="1" applyAlignment="1">
      <x:alignment horizontal="center" wrapText="1"/>
    </x:xf>
    <x:xf numFmtId="0" fontId="7" fillId="38" borderId="0" xfId="0" applyNumberFormat="1" applyFont="1" applyFill="1" applyBorder="1" applyAlignment="1">
      <x:alignment horizontal="center" vertical="center" wrapText="1"/>
    </x:xf>
    <x:xf numFmtId="0" fontId="10" fillId="41" borderId="0" xfId="0" applyNumberFormat="1" applyFont="1" applyFill="1" applyBorder="1" applyAlignment="1">
      <x:alignment horizontal="center" wrapText="1"/>
    </x:xf>
    <x:xf numFmtId="0" fontId="20" fillId="41" borderId="0" xfId="0" applyNumberFormat="1" applyFont="1" applyFill="1" applyBorder="1" applyAlignment="1">
      <x:alignment horizontal="left" vertical="center" wrapText="1"/>
    </x:xf>
    <x:xf numFmtId="0" fontId="20" fillId="4" borderId="0" xfId="0" applyNumberFormat="1" applyFont="1" applyFill="1" applyBorder="1" applyAlignment="1">
      <x:alignment vertical="center" wrapText="1"/>
    </x:xf>
    <x:xf numFmtId="205" fontId="7" fillId="39" borderId="0" xfId="0" applyNumberFormat="1" applyFont="1" applyFill="1" applyBorder="1" applyAlignment="1">
      <x:alignment vertical="center" wrapText="1"/>
    </x:xf>
    <x:xf numFmtId="205" fontId="29" fillId="39" borderId="0" xfId="0" applyNumberFormat="1" applyFont="1" applyFill="1" applyBorder="1" applyAlignment="1">
      <x:alignment vertical="center" wrapText="1"/>
    </x:xf>
    <x:xf numFmtId="0" fontId="6" fillId="41" borderId="0" xfId="0" applyNumberFormat="1" applyFont="1" applyFill="1" applyBorder="1" applyAlignment="1">
      <x:alignment horizontal="left" vertical="center" wrapText="1"/>
    </x:xf>
    <x:xf numFmtId="205" fontId="6" fillId="41" borderId="0" xfId="0" applyNumberFormat="1" applyFont="1" applyFill="1" applyBorder="1" applyAlignment="1">
      <x:alignment horizontal="left" vertical="center" wrapText="1"/>
    </x:xf>
    <x:xf numFmtId="0" fontId="7" fillId="41" borderId="0" xfId="0" applyNumberFormat="1" applyFont="1" applyFill="1" applyBorder="1" applyAlignment="1">
      <x:alignment horizontal="left" vertical="center" wrapText="1"/>
    </x:xf>
    <x:xf numFmtId="0" fontId="6" fillId="41" borderId="0" xfId="0" applyNumberFormat="1" applyFont="1" applyFill="1" applyBorder="1" applyAlignment="1">
      <x:alignment vertical="center" wrapText="1"/>
    </x:xf>
    <x:xf numFmtId="205" fontId="6" fillId="41" borderId="0" xfId="0" applyNumberFormat="1" applyFont="1" applyFill="1" applyBorder="1" applyAlignment="1">
      <x:alignment vertical="center" wrapText="1"/>
    </x:xf>
    <x:xf numFmtId="0" fontId="0" fillId="41" borderId="0" xfId="0" applyNumberFormat="1" applyFont="1" applyFill="1" applyBorder="1" applyAlignment="1">
      <x:alignment vertical="center" wrapText="1"/>
    </x:xf>
    <x:xf numFmtId="0" fontId="6" fillId="4" borderId="0" xfId="0" applyNumberFormat="1" applyFont="1" applyFill="1" applyBorder="1" applyAlignment="1">
      <x:alignment vertical="center" wrapText="1"/>
    </x:xf>
    <x:xf numFmtId="205" fontId="6" fillId="4" borderId="0" xfId="0" applyNumberFormat="1" applyFont="1" applyFill="1" applyBorder="1" applyAlignment="1">
      <x:alignment vertical="center" wrapText="1"/>
    </x:xf>
    <x:xf numFmtId="0" fontId="0" fillId="4" borderId="0" xfId="0" applyNumberFormat="1" applyFont="1" applyFill="1" applyBorder="1" applyAlignment="1">
      <x:alignment vertical="center" wrapText="1"/>
    </x:xf>
    <x:xf numFmtId="0" fontId="23" fillId="39" borderId="0" xfId="0" applyNumberFormat="1" applyFont="1" applyFill="1" applyBorder="1" applyAlignment="1">
      <x:alignment vertical="center" wrapText="1"/>
    </x:xf>
    <x:xf numFmtId="0" fontId="11" fillId="4" borderId="0" xfId="0" applyNumberFormat="1" applyFont="1" applyFill="1" applyBorder="1" applyAlignment="1">
      <x:alignment wrapText="1"/>
    </x:xf>
    <x:xf numFmtId="0" fontId="14" fillId="41" borderId="0" xfId="0" applyNumberFormat="1" applyFont="1" applyFill="1" applyBorder="1" applyAlignment="1">
      <x:alignment wrapText="1"/>
    </x:xf>
    <x:xf numFmtId="214" fontId="14" fillId="41" borderId="0" xfId="0" applyNumberFormat="1" applyFont="1" applyFill="1" applyBorder="1" applyAlignment="1">
      <x:alignment wrapText="1"/>
    </x:xf>
    <x:xf numFmtId="0" fontId="10" fillId="4" borderId="0" xfId="0" applyNumberFormat="1" applyFont="1" applyFill="1" applyBorder="1" applyAlignment="1">
      <x:alignment wrapText="1"/>
    </x:xf>
    <x:xf numFmtId="0" fontId="30" fillId="4" borderId="0" xfId="0" applyNumberFormat="1" applyFont="1" applyFill="1" applyBorder="1"/>
    <x:xf numFmtId="0" fontId="30" fillId="4" borderId="0" xfId="0" applyNumberFormat="1" applyFont="1" applyFill="1" applyBorder="1" applyAlignment="1">
      <x:alignment wrapText="1"/>
    </x:xf>
    <x:xf numFmtId="0" fontId="30" fillId="4" borderId="0" xfId="0" applyNumberFormat="1" applyFont="1" applyFill="1" applyBorder="1" applyAlignment="1">
      <x:alignment vertical="center" wrapText="1"/>
    </x:xf>
    <x:xf numFmtId="0" fontId="31" fillId="39" borderId="0" xfId="0" applyNumberFormat="1" applyFont="1" applyFill="1" applyBorder="1"/>
    <x:xf numFmtId="0" fontId="31" fillId="39" borderId="0" xfId="0" applyNumberFormat="1" applyFont="1" applyFill="1" applyBorder="1" applyAlignment="1">
      <x:alignment wrapText="1"/>
    </x:xf>
    <x:xf numFmtId="0" fontId="31" fillId="39" borderId="0" xfId="0" applyNumberFormat="1" applyFont="1" applyFill="1" applyBorder="1" applyAlignment="1">
      <x:alignment vertical="center" wrapText="1"/>
    </x:xf>
    <x:xf numFmtId="0" fontId="32" fillId="41" borderId="0" xfId="0" applyNumberFormat="1" applyFont="1" applyFill="1" applyBorder="1"/>
    <x:xf numFmtId="0" fontId="32" fillId="41" borderId="0" xfId="0" applyNumberFormat="1" applyFont="1" applyFill="1" applyBorder="1" applyAlignment="1">
      <x:alignment wrapText="1"/>
    </x:xf>
    <x:xf numFmtId="0" fontId="32" fillId="41" borderId="0" xfId="0" applyNumberFormat="1" applyFont="1" applyFill="1" applyBorder="1" applyAlignment="1">
      <x:alignment vertical="center" wrapText="1"/>
    </x:xf>
    <x:xf numFmtId="0" fontId="32" fillId="48" borderId="0" xfId="0" applyNumberFormat="1" applyFont="1" applyFill="1" applyBorder="1"/>
    <x:xf numFmtId="0" fontId="32" fillId="48" borderId="0" xfId="0" applyNumberFormat="1" applyFont="1" applyFill="1" applyBorder="1" applyAlignment="1">
      <x:alignment wrapText="1"/>
    </x:xf>
    <x:xf numFmtId="0" fontId="32" fillId="48" borderId="0" xfId="0" applyNumberFormat="1" applyFont="1" applyFill="1" applyBorder="1" applyAlignment="1">
      <x:alignment horizontal="center" wrapText="1"/>
    </x:xf>
    <x:xf numFmtId="0" fontId="32" fillId="48" borderId="0" xfId="0" applyNumberFormat="1" applyFont="1" applyFill="1" applyBorder="1" applyAlignment="1">
      <x:alignment horizontal="center" vertical="center" wrapText="1"/>
    </x:xf>
    <x:xf numFmtId="0" fontId="0" fillId="42" borderId="0" xfId="0" applyNumberFormat="1" applyFont="1" applyFill="1" applyBorder="1" applyAlignment="1">
      <x:alignment vertical="center" wrapText="1"/>
    </x:xf>
    <x:xf numFmtId="210" fontId="11" fillId="40" borderId="0" xfId="0" applyNumberFormat="1" applyFont="1" applyFill="1" applyBorder="1"/>
    <x:xf numFmtId="210" fontId="11" fillId="4" borderId="0" xfId="0" applyNumberFormat="1" applyFont="1" applyFill="1" applyBorder="1"/>
    <x:xf numFmtId="213" fontId="11" fillId="40" borderId="0" xfId="0" applyNumberFormat="1" applyFont="1" applyFill="1" applyBorder="1"/>
    <x:xf numFmtId="202" fontId="11" fillId="40" borderId="0" xfId="0" applyNumberFormat="1" applyFont="1" applyFill="1" applyBorder="1"/>
    <x:xf numFmtId="203" fontId="11" fillId="40" borderId="0" xfId="0" applyNumberFormat="1" applyFont="1" applyFill="1" applyBorder="1"/>
    <x:xf numFmtId="210" fontId="11" fillId="40" borderId="0" xfId="0" applyNumberFormat="1" applyFont="1" applyFill="1" applyBorder="1" applyAlignment="1">
      <x:alignment wrapText="1"/>
    </x:xf>
    <x:xf numFmtId="210" fontId="11" fillId="4" borderId="0" xfId="0" applyNumberFormat="1" applyFont="1" applyFill="1" applyBorder="1" applyAlignment="1">
      <x:alignment wrapText="1"/>
    </x:xf>
    <x:xf numFmtId="202" fontId="11" fillId="40" borderId="0" xfId="0" applyNumberFormat="1" applyFont="1" applyFill="1" applyBorder="1" applyAlignment="1">
      <x:alignment wrapText="1"/>
    </x:xf>
    <x:xf numFmtId="213" fontId="11" fillId="40" borderId="0" xfId="0" applyNumberFormat="1" applyFont="1" applyFill="1" applyBorder="1" applyAlignment="1">
      <x:alignment wrapText="1"/>
    </x:xf>
    <x:xf numFmtId="203" fontId="11" fillId="40" borderId="0" xfId="0" applyNumberFormat="1" applyFont="1" applyFill="1" applyBorder="1" applyAlignment="1">
      <x:alignment wrapText="1"/>
    </x:xf>
    <x:xf numFmtId="0" fontId="10" fillId="4" borderId="0" xfId="0" applyNumberFormat="1" applyFont="1" applyFill="1" applyBorder="1"/>
    <x:xf numFmtId="0" fontId="10" fillId="4" borderId="0" xfId="0" applyNumberFormat="1" applyFont="1" applyFill="1" applyBorder="1" applyAlignment="1">
      <x:alignment vertical="top" wrapText="1"/>
    </x:xf>
    <x:xf numFmtId="0" fontId="0" fillId="41" borderId="0" xfId="0" applyNumberFormat="1" applyFont="1" applyFill="1" applyBorder="1" applyAlignment="1">
      <x:alignment vertical="top" wrapText="1"/>
    </x:xf>
    <x:xf numFmtId="0" fontId="34" fillId="39" borderId="0" xfId="0" applyNumberFormat="1" applyFont="1" applyFill="1" applyBorder="1"/>
    <x:xf numFmtId="0" fontId="34" fillId="39" borderId="0" xfId="0" applyNumberFormat="1" applyFont="1" applyFill="1" applyBorder="1" applyAlignment="1">
      <x:alignment wrapText="1"/>
    </x:xf>
    <x:xf numFmtId="0" fontId="34" fillId="39" borderId="0" xfId="0" applyNumberFormat="1" applyFont="1" applyFill="1" applyBorder="1" applyAlignment="1">
      <x:alignment vertical="center" wrapText="1"/>
    </x:xf>
    <x:xf numFmtId="0" fontId="35" fillId="41" borderId="0" xfId="0" applyNumberFormat="1" applyFont="1" applyFill="1" applyBorder="1" applyAlignment="1">
      <x:alignment wrapText="1"/>
    </x:xf>
    <x:xf numFmtId="0" fontId="35" fillId="41" borderId="0" xfId="0" applyNumberFormat="1" applyFont="1" applyFill="1" applyBorder="1" applyAlignment="1">
      <x:alignment vertical="center" wrapText="1"/>
    </x:xf>
    <x:xf numFmtId="0" fontId="0" fillId="59" borderId="0" xfId="0" applyNumberFormat="1" applyFont="1" applyFill="1" applyBorder="1" applyAlignment="1">
      <x:alignment vertical="top"/>
    </x:xf>
    <x:xf numFmtId="0" fontId="30" fillId="59" borderId="0" xfId="0" applyNumberFormat="1" applyFont="1" applyFill="1" applyBorder="1" applyAlignment="1">
      <x:alignment vertical="top"/>
    </x:xf>
    <x:xf numFmtId="0" fontId="30" fillId="59" borderId="0" xfId="0" applyNumberFormat="1" applyFont="1" applyFill="1" applyBorder="1" applyAlignment="1">
      <x:alignment vertical="top" wrapText="1"/>
    </x:xf>
    <x:xf numFmtId="0" fontId="30" fillId="59" borderId="0" xfId="0" applyNumberFormat="1" applyFont="1" applyFill="1" applyBorder="1" applyAlignment="1">
      <x:alignment vertical="center" wrapText="1"/>
    </x:xf>
    <x:xf numFmtId="0" fontId="0" fillId="59" borderId="0" xfId="0" applyNumberFormat="1" applyFont="1" applyFill="1" applyBorder="1" applyAlignment="1">
      <x:alignment wrapText="1"/>
    </x:xf>
    <x:xf numFmtId="0" fontId="30" fillId="59" borderId="0" xfId="0" applyNumberFormat="1" applyFont="1" applyFill="1" applyBorder="1" applyAlignment="1">
      <x:alignment wrapText="1"/>
    </x:xf>
    <x:xf numFmtId="0" fontId="11" fillId="0" borderId="0" xfId="0" applyNumberFormat="1" applyFont="1" applyFill="1" applyBorder="1" applyAlignment="1">
      <x:alignment vertical="top"/>
    </x:xf>
    <x:xf numFmtId="203" fontId="14" fillId="11" borderId="0" xfId="0" applyNumberFormat="1" applyFont="1" applyFill="1" applyBorder="1" applyAlignment="1">
      <x:alignment vertical="top" wrapText="1"/>
    </x:xf>
    <x:xf numFmtId="214" fontId="11" fillId="0" borderId="0" xfId="0" applyNumberFormat="1" applyFont="1" applyFill="1" applyBorder="1" applyAlignment="1">
      <x:alignment vertical="top"/>
    </x:xf>
    <x:xf numFmtId="221" fontId="36" fillId="0" borderId="0" xfId="0" applyNumberFormat="1" applyFont="1" applyFill="1" applyBorder="1" applyAlignment="1">
      <x:alignment wrapText="1"/>
    </x:xf>
    <x:xf numFmtId="217" fontId="36" fillId="0" borderId="0" xfId="0" applyNumberFormat="1" applyFont="1" applyFill="1" applyBorder="1" applyAlignment="1">
      <x:alignment wrapText="1"/>
    </x:xf>
    <x:xf numFmtId="214" fontId="36" fillId="0" borderId="0" xfId="0" applyNumberFormat="1" applyFont="1" applyFill="1" applyBorder="1" applyAlignment="1">
      <x:alignment wrapText="1"/>
    </x:xf>
    <x:xf numFmtId="210" fontId="36" fillId="40" borderId="0" xfId="0" applyNumberFormat="1" applyFont="1" applyFill="1" applyBorder="1" applyAlignment="1">
      <x:alignment wrapText="1"/>
    </x:xf>
    <x:xf numFmtId="213" fontId="36" fillId="40" borderId="0" xfId="0" applyNumberFormat="1" applyFont="1" applyFill="1" applyBorder="1" applyAlignment="1">
      <x:alignment wrapText="1"/>
    </x:xf>
    <x:xf numFmtId="202" fontId="36" fillId="40" borderId="0" xfId="0" applyNumberFormat="1" applyFont="1" applyFill="1" applyBorder="1" applyAlignment="1">
      <x:alignment wrapText="1"/>
    </x:xf>
    <x:xf numFmtId="0" fontId="36" fillId="0" borderId="0" xfId="0" applyNumberFormat="1" applyFont="1" applyFill="1" applyBorder="1" applyAlignment="1">
      <x:alignment wrapText="1"/>
    </x:xf>
    <x:xf numFmtId="210" fontId="36" fillId="4" borderId="0" xfId="0" applyNumberFormat="1" applyFont="1" applyFill="1" applyBorder="1" applyAlignment="1">
      <x:alignment wrapText="1"/>
    </x:xf>
    <x:xf numFmtId="203" fontId="36" fillId="40" borderId="0" xfId="0" applyNumberFormat="1" applyFont="1" applyFill="1" applyBorder="1" applyAlignment="1">
      <x:alignment wrapText="1"/>
    </x:xf>
    <x:xf numFmtId="213" fontId="36" fillId="4" borderId="0" xfId="0" applyNumberFormat="1" applyFont="1" applyFill="1" applyBorder="1" applyAlignment="1">
      <x:alignment wrapText="1"/>
    </x:xf>
    <x:xf numFmtId="218" fontId="36" fillId="40" borderId="0" xfId="0" applyNumberFormat="1" applyFont="1" applyFill="1" applyBorder="1" applyAlignment="1">
      <x:alignment wrapText="1"/>
    </x:xf>
    <x:xf numFmtId="203" fontId="36" fillId="0" borderId="0" xfId="0" applyNumberFormat="1" applyFont="1" applyFill="1" applyBorder="1" applyAlignment="1">
      <x:alignment wrapText="1"/>
    </x:xf>
    <x:xf numFmtId="210" fontId="36" fillId="60" borderId="0" xfId="0" applyNumberFormat="1" applyFont="1" applyFill="1" applyBorder="1" applyAlignment="1">
      <x:alignment wrapText="1"/>
    </x:xf>
    <x:xf numFmtId="210" fontId="36" fillId="59" borderId="0" xfId="0" applyNumberFormat="1" applyFont="1" applyFill="1" applyBorder="1" applyAlignment="1">
      <x:alignment wrapText="1"/>
    </x:xf>
    <x:xf numFmtId="213" fontId="36" fillId="60" borderId="0" xfId="0" applyNumberFormat="1" applyFont="1" applyFill="1" applyBorder="1" applyAlignment="1">
      <x:alignment wrapText="1"/>
    </x:xf>
    <x:xf numFmtId="0" fontId="0" fillId="60" borderId="0" xfId="0" applyNumberFormat="1" applyFont="1" applyFill="1" applyBorder="1" applyAlignment="1">
      <x:alignment wrapText="1"/>
    </x:xf>
    <x:xf numFmtId="202" fontId="36" fillId="60" borderId="0" xfId="0" applyNumberFormat="1" applyFont="1" applyFill="1" applyBorder="1" applyAlignment="1">
      <x:alignment wrapText="1"/>
    </x:xf>
    <x:xf numFmtId="218" fontId="36" fillId="59" borderId="0" xfId="0" applyNumberFormat="1" applyFont="1" applyFill="1" applyBorder="1" applyAlignment="1">
      <x:alignment wrapText="1"/>
    </x:xf>
    <x:xf numFmtId="203" fontId="36" fillId="60" borderId="0" xfId="0" applyNumberFormat="1" applyFont="1" applyFill="1" applyBorder="1" applyAlignment="1">
      <x:alignment wrapText="1"/>
    </x:xf>
    <x:xf numFmtId="223" fontId="36" fillId="0" borderId="0" xfId="0" applyNumberFormat="1" applyFont="1" applyFill="1" applyBorder="1" applyAlignment="1">
      <x:alignment wrapText="1"/>
    </x:xf>
    <x:xf numFmtId="210" fontId="36" fillId="0" borderId="0" xfId="0" applyNumberFormat="1" applyFont="1" applyFill="1" applyBorder="1" applyAlignment="1">
      <x:alignment wrapText="1"/>
    </x:xf>
    <x:xf numFmtId="0" fontId="36" fillId="0" borderId="0" xfId="0" applyNumberFormat="1" applyFont="1" applyFill="1" applyBorder="1"/>
    <x:xf numFmtId="0" fontId="37" fillId="39" borderId="0" xfId="0" applyNumberFormat="1" applyFont="1" applyFill="1" applyBorder="1" applyAlignment="1">
      <x:alignment vertical="center" wrapText="1"/>
    </x:xf>
    <x:xf numFmtId="0" fontId="36" fillId="41" borderId="0" xfId="0" applyNumberFormat="1" applyFont="1" applyFill="1" applyBorder="1" applyAlignment="1">
      <x:alignment wrapText="1"/>
    </x:xf>
    <x:xf numFmtId="0" fontId="38" fillId="39" borderId="0" xfId="0" applyNumberFormat="1" applyFont="1" applyFill="1" applyBorder="1" applyAlignment="1">
      <x:alignment vertical="center" wrapText="1"/>
    </x:xf>
    <x:xf numFmtId="0" fontId="39" fillId="48" borderId="0" xfId="0" applyNumberFormat="1" applyFont="1" applyFill="1" applyBorder="1" applyAlignment="1">
      <x:alignment wrapText="1"/>
    </x:xf>
    <x:xf numFmtId="0" fontId="39" fillId="38" borderId="0" xfId="0" applyNumberFormat="1" applyFont="1" applyFill="1" applyBorder="1" applyAlignment="1">
      <x:alignment horizontal="center" vertical="center" wrapText="1"/>
    </x:xf>
    <x:xf numFmtId="0" fontId="39" fillId="41" borderId="0" xfId="0" applyNumberFormat="1" applyFont="1" applyFill="1" applyBorder="1" applyAlignment="1">
      <x:alignment horizontal="center" wrapText="1"/>
    </x:xf>
    <x:xf numFmtId="0" fontId="39" fillId="0" borderId="0" xfId="0" applyNumberFormat="1" applyFont="1" applyFill="1" applyBorder="1" applyAlignment="1">
      <x:alignment wrapText="1"/>
    </x:xf>
    <x:xf numFmtId="0" fontId="36" fillId="4" borderId="0" xfId="0" applyNumberFormat="1" applyFont="1" applyFill="1" applyBorder="1" applyAlignment="1">
      <x:alignment wrapText="1"/>
    </x:xf>
    <x:xf numFmtId="0" fontId="7" fillId="61" borderId="0" xfId="0" applyNumberFormat="1" applyFont="1" applyFill="1" applyBorder="1" applyAlignment="1">
      <x:alignment horizontal="center" vertical="center" wrapText="1"/>
    </x:xf>
    <x:xf numFmtId="0" fontId="0" fillId="62" borderId="0" xfId="0" applyNumberFormat="1" applyFont="1" applyFill="1" applyBorder="1" applyAlignment="1">
      <x:alignment wrapText="1"/>
    </x:xf>
    <x:xf numFmtId="203" fontId="36" fillId="62" borderId="0" xfId="0" applyNumberFormat="1" applyFont="1" applyFill="1" applyBorder="1" applyAlignment="1">
      <x:alignment wrapText="1"/>
    </x:xf>
    <x:xf numFmtId="0" fontId="36" fillId="62" borderId="0" xfId="0" applyNumberFormat="1" applyFont="1" applyFill="1" applyBorder="1" applyAlignment="1">
      <x:alignment wrapText="1"/>
    </x:xf>
    <x:xf numFmtId="217" fontId="36" fillId="62" borderId="0" xfId="0" applyNumberFormat="1" applyFont="1" applyFill="1" applyBorder="1" applyAlignment="1">
      <x:alignment wrapText="1"/>
    </x:xf>
    <x:xf numFmtId="223" fontId="36" fillId="62" borderId="0" xfId="0" applyNumberFormat="1" applyFont="1" applyFill="1" applyBorder="1" applyAlignment="1">
      <x:alignment wrapText="1"/>
    </x:xf>
    <x:xf numFmtId="0" fontId="36" fillId="60" borderId="0" xfId="0" applyNumberFormat="1" applyFont="1" applyFill="1" applyBorder="1" applyAlignment="1">
      <x:alignment wrapText="1"/>
    </x:xf>
    <x:xf numFmtId="0" fontId="36" fillId="59" borderId="0" xfId="0" applyNumberFormat="1" applyFont="1" applyFill="1" applyBorder="1" applyAlignment="1">
      <x:alignment wrapText="1"/>
    </x:xf>
    <x:xf numFmtId="223" fontId="36" fillId="60" borderId="0" xfId="0" applyNumberFormat="1" applyFont="1" applyFill="1" applyBorder="1" applyAlignment="1">
      <x:alignment wrapText="1"/>
    </x:xf>
    <x:xf numFmtId="223" fontId="36" fillId="59" borderId="0" xfId="0" applyNumberFormat="1" applyFont="1" applyFill="1" applyBorder="1" applyAlignment="1">
      <x:alignment wrapText="1"/>
    </x:xf>
    <x:xf numFmtId="203" fontId="36" fillId="0" borderId="0" xfId="0" applyNumberFormat="1" applyFont="1" applyFill="1" applyBorder="1"/>
    <x:xf numFmtId="0" fontId="0" fillId="62" borderId="0" xfId="0" applyNumberFormat="1" applyFont="1" applyFill="1" applyBorder="1"/>
    <x:xf numFmtId="0" fontId="0" fillId="59" borderId="0" xfId="0" applyNumberFormat="1" applyFont="1" applyFill="1" applyBorder="1"/>
    <x:xf numFmtId="203" fontId="36" fillId="62" borderId="0" xfId="0" applyNumberFormat="1" applyFont="1" applyFill="1" applyBorder="1"/>
    <x:xf numFmtId="0" fontId="36" fillId="62" borderId="0" xfId="0" applyNumberFormat="1" applyFont="1" applyFill="1" applyBorder="1"/>
    <x:xf numFmtId="223" fontId="36" fillId="0" borderId="0" xfId="0" applyNumberFormat="1" applyFont="1" applyFill="1" applyBorder="1"/>
    <x:xf numFmtId="223" fontId="36" fillId="62" borderId="0" xfId="0" applyNumberFormat="1" applyFont="1" applyFill="1" applyBorder="1"/>
    <x:xf numFmtId="210" fontId="36" fillId="0" borderId="0" xfId="0" applyNumberFormat="1" applyFont="1" applyFill="1" applyBorder="1"/>
    <x:xf numFmtId="210" fontId="36" fillId="62" borderId="0" xfId="0" applyNumberFormat="1" applyFont="1" applyFill="1" applyBorder="1"/>
    <x:xf numFmtId="210" fontId="36" fillId="63" borderId="0" xfId="0" applyNumberFormat="1" applyFont="1" applyFill="1" applyBorder="1"/>
    <x:xf numFmtId="0" fontId="36" fillId="63" borderId="0" xfId="0" applyNumberFormat="1" applyFont="1" applyFill="1" applyBorder="1"/>
    <x:xf numFmtId="210" fontId="36" fillId="62" borderId="0" xfId="0" applyNumberFormat="1" applyFont="1" applyFill="1" applyBorder="1" applyAlignment="1">
      <x:alignment wrapText="1"/>
    </x:xf>
    <x:xf numFmtId="210" fontId="36" fillId="63" borderId="0" xfId="0" applyNumberFormat="1" applyFont="1" applyFill="1" applyBorder="1" applyAlignment="1">
      <x:alignment wrapText="1"/>
    </x:xf>
    <x:xf numFmtId="0" fontId="36" fillId="63" borderId="0" xfId="0" applyNumberFormat="1" applyFont="1" applyFill="1" applyBorder="1" applyAlignment="1">
      <x:alignment wrapText="1"/>
    </x:xf>
    <x:xf numFmtId="0" fontId="30" fillId="4" borderId="0" xfId="0" applyNumberFormat="1" applyFont="1" applyFill="1" applyBorder="1" applyAlignment="1">
      <x:alignment vertical="top"/>
    </x:xf>
    <x:xf numFmtId="0" fontId="30" fillId="4" borderId="0" xfId="0" applyNumberFormat="1" applyFont="1" applyFill="1" applyBorder="1" applyAlignment="1">
      <x:alignment vertical="top" wrapText="1"/>
    </x:xf>
    <x:xf numFmtId="218" fontId="36" fillId="4" borderId="0" xfId="0" applyNumberFormat="1" applyFont="1" applyFill="1" applyBorder="1" applyAlignment="1">
      <x:alignment wrapText="1"/>
    </x:xf>
    <x:xf numFmtId="203" fontId="36" fillId="42" borderId="0" xfId="0" applyNumberFormat="1" applyFont="1" applyFill="1" applyBorder="1" applyAlignment="1">
      <x:alignment wrapText="1"/>
    </x:xf>
    <x:xf numFmtId="0" fontId="36" fillId="42" borderId="0" xfId="0" applyNumberFormat="1" applyFont="1" applyFill="1" applyBorder="1" applyAlignment="1">
      <x:alignment wrapText="1"/>
    </x:xf>
    <x:xf numFmtId="217" fontId="36" fillId="42" borderId="0" xfId="0" applyNumberFormat="1" applyFont="1" applyFill="1" applyBorder="1" applyAlignment="1">
      <x:alignment wrapText="1"/>
    </x:xf>
    <x:xf numFmtId="223" fontId="36" fillId="42" borderId="0" xfId="0" applyNumberFormat="1" applyFont="1" applyFill="1" applyBorder="1" applyAlignment="1">
      <x:alignment wrapText="1"/>
    </x:xf>
    <x:xf numFmtId="0" fontId="36" fillId="40" borderId="0" xfId="0" applyNumberFormat="1" applyFont="1" applyFill="1" applyBorder="1" applyAlignment="1">
      <x:alignment wrapText="1"/>
    </x:xf>
    <x:xf numFmtId="223" fontId="36" fillId="40" borderId="0" xfId="0" applyNumberFormat="1" applyFont="1" applyFill="1" applyBorder="1" applyAlignment="1">
      <x:alignment wrapText="1"/>
    </x:xf>
    <x:xf numFmtId="223" fontId="36" fillId="4" borderId="0" xfId="0" applyNumberFormat="1" applyFont="1" applyFill="1" applyBorder="1" applyAlignment="1">
      <x:alignment wrapText="1"/>
    </x:xf>
    <x:xf numFmtId="203" fontId="36" fillId="42" borderId="0" xfId="0" applyNumberFormat="1" applyFont="1" applyFill="1" applyBorder="1"/>
    <x:xf numFmtId="0" fontId="36" fillId="42" borderId="0" xfId="0" applyNumberFormat="1" applyFont="1" applyFill="1" applyBorder="1"/>
    <x:xf numFmtId="223" fontId="36" fillId="42" borderId="0" xfId="0" applyNumberFormat="1" applyFont="1" applyFill="1" applyBorder="1"/>
    <x:xf numFmtId="210" fontId="36" fillId="42" borderId="0" xfId="0" applyNumberFormat="1" applyFont="1" applyFill="1" applyBorder="1"/>
    <x:xf numFmtId="210" fontId="36" fillId="48" borderId="0" xfId="0" applyNumberFormat="1" applyFont="1" applyFill="1" applyBorder="1"/>
    <x:xf numFmtId="0" fontId="36" fillId="48" borderId="0" xfId="0" applyNumberFormat="1" applyFont="1" applyFill="1" applyBorder="1"/>
    <x:xf numFmtId="210" fontId="36" fillId="42" borderId="0" xfId="0" applyNumberFormat="1" applyFont="1" applyFill="1" applyBorder="1" applyAlignment="1">
      <x:alignment wrapText="1"/>
    </x:xf>
    <x:xf numFmtId="210" fontId="36" fillId="48" borderId="0" xfId="0" applyNumberFormat="1" applyFont="1" applyFill="1" applyBorder="1" applyAlignment="1">
      <x:alignment wrapText="1"/>
    </x:xf>
    <x:xf numFmtId="0" fontId="36" fillId="48" borderId="0" xfId="0" applyNumberFormat="1" applyFont="1" applyFill="1" applyBorder="1" applyAlignment="1">
      <x:alignment wrapText="1"/>
    </x:xf>
    <x:xf numFmtId="0" fontId="30" fillId="64" borderId="0" xfId="0" applyNumberFormat="1" applyFont="1" applyFill="1" applyBorder="1" applyAlignment="1">
      <x:alignment vertical="center" wrapText="1"/>
    </x:xf>
  </x:cellXfs>
  <x:cellStyles count="1">
    <x:cellStyle name="Normal" xfId="0"/>
  </x:cellStyles>
  <x:dxfs count="17">
    <x:dxf>
      <x:fill>
        <x:patternFill>
          <x:bgColor rgb="FFE2F0D9"/>
        </x:patternFill>
      </x:fill>
    </x:dxf>
    <x:dxf>
      <x:fill>
        <x:patternFill>
          <x:bgColor rgb="FFFFF2CC"/>
        </x:patternFill>
      </x:fill>
    </x:dxf>
    <x:dxf>
      <x:fill>
        <x:patternFill>
          <x:bgColor rgb="FFFCE4D6"/>
        </x:patternFill>
      </x:fill>
    </x:dxf>
    <x:dxf>
      <x:fill>
        <x:patternFill>
          <x:bgColor rgb="FFE2F0D9"/>
        </x:patternFill>
      </x:fill>
    </x:dxf>
    <x:dxf>
      <x:fill>
        <x:patternFill>
          <x:bgColor rgb="FFFFF2CC"/>
        </x:patternFill>
      </x:fill>
    </x:dxf>
    <x:dxf>
      <x:fill>
        <x:patternFill>
          <x:bgColor rgb="FFFCE4D6"/>
        </x:patternFill>
      </x:fill>
    </x:dxf>
    <x:dxf>
      <x:fill>
        <x:patternFill>
          <x:bgColor rgb="FFE2F0D9"/>
        </x:patternFill>
      </x:fill>
    </x:dxf>
    <x:dxf>
      <x:fill>
        <x:patternFill>
          <x:bgColor rgb="FFFCE4D6"/>
        </x:patternFill>
      </x:fill>
    </x:dxf>
    <x:dxf>
      <x:fill>
        <x:patternFill>
          <x:bgColor rgb="FFE2F0D9"/>
        </x:patternFill>
      </x:fill>
    </x:dxf>
    <x:dxf>
      <x:fill>
        <x:patternFill>
          <x:bgColor rgb="FFFFF2CC"/>
        </x:patternFill>
      </x:fill>
    </x:dxf>
    <x:dxf>
      <x:fill>
        <x:patternFill>
          <x:bgColor rgb="FFFCE4D6"/>
        </x:patternFill>
      </x:fill>
    </x:dxf>
    <x:dxf>
      <x:fill>
        <x:patternFill>
          <x:bgColor rgb="FFE2F0D9"/>
        </x:patternFill>
      </x:fill>
    </x:dxf>
    <x:dxf>
      <x:fill>
        <x:patternFill>
          <x:bgColor rgb="FFFCE4D6"/>
        </x:patternFill>
      </x:fill>
    </x:dxf>
    <x:dxf>
      <x:fill>
        <x:patternFill>
          <x:bgColor rgb="FFE2F0D9"/>
        </x:patternFill>
      </x:fill>
    </x:dxf>
    <x:dxf>
      <x:fill>
        <x:patternFill>
          <x:bgColor rgb="FFFCE4D6"/>
        </x:patternFill>
      </x:fill>
    </x:dxf>
    <x:dxf>
      <x:fill>
        <x:patternFill>
          <x:bgColor rgb="FFE2F0D9"/>
        </x:patternFill>
      </x:fill>
    </x:dxf>
    <x:dxf>
      <x:fill>
        <x:patternFill>
          <x:bgColor rgb="FFFCE4D6"/>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4490ba77972442a4" /><Relationship Type="http://schemas.openxmlformats.org/officeDocument/2006/relationships/theme" Target="/xl/theme/theme1.xml" Id="R79336d69fba248f0" /><Relationship Type="http://schemas.openxmlformats.org/officeDocument/2006/relationships/sharedStrings" Target="/xl/sharedStrings.xml" Id="Rf3b8293a8a8c4a7f" /><Relationship Type="http://schemas.openxmlformats.org/officeDocument/2006/relationships/worksheet" Target="/xl/worksheets/sheet1.xml" Id="R94b0f1d7eb3c49cc" /><Relationship Type="http://schemas.openxmlformats.org/officeDocument/2006/relationships/worksheet" Target="/xl/worksheets/sheet2.xml" Id="R94578e0149684911" /><Relationship Type="http://schemas.openxmlformats.org/officeDocument/2006/relationships/worksheet" Target="/xl/worksheets/sheet3.xml" Id="R35ab0511ab9c4df0" /><Relationship Type="http://schemas.openxmlformats.org/officeDocument/2006/relationships/worksheet" Target="/xl/worksheets/sheet4.xml" Id="Rae3fc2ea09f94736" /><Relationship Type="http://schemas.openxmlformats.org/officeDocument/2006/relationships/worksheet" Target="/xl/worksheets/sheet5.xml" Id="Rc03f288045574e6e" /><Relationship Type="http://schemas.openxmlformats.org/officeDocument/2006/relationships/worksheet" Target="/xl/worksheets/sheet6.xml" Id="R5e539a0f6f3d45fa" /><Relationship Type="http://schemas.openxmlformats.org/officeDocument/2006/relationships/worksheet" Target="/xl/worksheets/sheet7.xml" Id="R3ca6bfc690614d5f" /><Relationship Type="http://schemas.openxmlformats.org/officeDocument/2006/relationships/worksheet" Target="/xl/worksheets/sheet8.xml" Id="Ra6074799edb44e07" /><Relationship Type="http://schemas.openxmlformats.org/officeDocument/2006/relationships/worksheet" Target="/xl/worksheets/sheet9.xml" Id="R683d278927be489d" /><Relationship Type="http://schemas.openxmlformats.org/officeDocument/2006/relationships/worksheet" Target="/xl/worksheets/sheet10.xml" Id="R68ba93ab0bce4bb0" /><Relationship Type="http://schemas.openxmlformats.org/officeDocument/2006/relationships/worksheet" Target="/xl/worksheets/sheet11.xml" Id="Rf50f389174474537" /><Relationship Type="http://schemas.openxmlformats.org/officeDocument/2006/relationships/worksheet" Target="/xl/worksheets/sheet12.xml" Id="R35bc24c8b0984341" /><Relationship Type="http://schemas.openxmlformats.org/officeDocument/2006/relationships/worksheet" Target="/xl/worksheets/sheet13.xml" Id="Rd315365a26b04ad5" /><Relationship Type="http://schemas.openxmlformats.org/officeDocument/2006/relationships/worksheet" Target="/xl/worksheets/sheet14.xml" Id="R63ac4de746cd4dac" /><Relationship Type="http://schemas.openxmlformats.org/officeDocument/2006/relationships/worksheet" Target="/xl/worksheets/sheet15.xml" Id="R32cd8feab70749a5" /><Relationship Type="http://schemas.openxmlformats.org/officeDocument/2006/relationships/worksheet" Target="/xl/worksheets/sheet16.xml" Id="R98382f7a23ef4212" /><Relationship Type="http://schemas.openxmlformats.org/officeDocument/2006/relationships/worksheet" Target="/xl/worksheets/sheet17.xml" Id="R3029fa7bb5e24770" /><Relationship Type="http://schemas.openxmlformats.org/officeDocument/2006/relationships/worksheet" Target="/xl/worksheets/sheet18.xml" Id="R2664879634944dbc" /><Relationship Type="http://schemas.openxmlformats.org/officeDocument/2006/relationships/worksheet" Target="/xl/worksheets/sheet19.xml" Id="Ra716532a7fed4793" /><Relationship Type="http://schemas.openxmlformats.org/officeDocument/2006/relationships/worksheet" Target="/xl/worksheets/sheet20.xml" Id="R667bea0a1b974f47" /><Relationship Type="http://schemas.openxmlformats.org/officeDocument/2006/relationships/worksheet" Target="/xl/worksheets/sheet21.xml" Id="Rf44a18ba318b4557" /><Relationship Type="http://schemas.openxmlformats.org/officeDocument/2006/relationships/worksheet" Target="/xl/worksheets/sheet22.xml" Id="R0f9bf2722801417f" /><Relationship Type="http://schemas.openxmlformats.org/officeDocument/2006/relationships/worksheet" Target="/xl/worksheets/sheet23.xml" Id="Ra27b5586f86345ce" /><Relationship Type="http://schemas.openxmlformats.org/officeDocument/2006/relationships/worksheet" Target="/xl/worksheets/sheet24.xml" Id="R028ca9c012664c1d" /><Relationship Type="http://schemas.openxmlformats.org/officeDocument/2006/relationships/worksheet" Target="/xl/worksheets/sheet25.xml" Id="R580a6def4f2b46b2" /></Relationships>
</file>

<file path=xl/drawings/_rels/drawing1.xml.rels>&#65279;<?xml version="1.0" encoding="utf-8"?><Relationships xmlns="http://schemas.openxmlformats.org/package/2006/relationships"><Relationship Type="http://schemas.openxmlformats.org/officeDocument/2006/relationships/chart" Target="/xl/drawings/charts/chart1.xml" Id="Raa3ee20842d843f3"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One annual cohort: mature annual cost versus present value of lifetime benefits</a:t>
            </a:r>
          </a:p>
        </c:rich>
      </c:tx>
      <c:overlay val="0"/>
    </c:title>
    <c:autoTitleDeleted val="0"/>
    <c:plotArea>
      <c:layout/>
      <c:barChart>
        <c:barDir val="col"/>
        <c:varyColors val="0"/>
        <c:ser>
          <c:idx val="0"/>
          <c:order val="0"/>
          <c:tx>
            <c:v>Value</c:v>
          </c:tx>
          <c:cat>
            <c:strRef>
              <c:f>'Executive Summary'!$A$48:$A$52</c:f>
              <c:strCache>
                <c:ptCount val="0"/>
              </c:strCache>
            </c:strRef>
          </c:cat>
          <c:val>
            <c:numRef>
              <c:f>'Executive Summary'!$B$48:$B$52</c:f>
              <c:numCache>
                <c:formatCode>$0.0,,"m";[Red]($0.0,,"m");-</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7</xdr:col>
      <xdr:colOff>0</xdr:colOff>
      <xdr:row>46</xdr:row>
      <xdr:rowOff>0</xdr:rowOff>
    </xdr:from>
    <xdr:to>
      <xdr:col>12</xdr:col>
      <xdr:colOff>0</xdr:colOff>
      <xdr:row>63</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aa3ee20842d843f3"/>
        </a:graphicData>
      </a:graphic>
    </xdr:graphicFrame>
    <xdr:clientData/>
  </xdr:twoCellAnchor>
</xdr:wsDr>
</file>

<file path=xl/tables/table1.xml><?xml version="1.0" encoding="utf-8"?>
<x:table xmlns:x="http://schemas.openxmlformats.org/spreadsheetml/2006/main" id="1" name="GuidedGlossary" displayName="GuidedGlossary" ref="A4:I73" headerRowCount="1">
  <x:tableColumns count="9">
    <x:tableColumn id="1" name="Term"/>
    <x:tableColumn id="2" name="Plain-English definition"/>
    <x:tableColumn id="3" name="Technical definition"/>
    <x:tableColumn id="4" name="Why it matters in this model"/>
    <x:tableColumn id="5" name="Common misunderstanding"/>
    <x:tableColumn id="6" name="Example from this workbook"/>
    <x:tableColumn id="7" name="Relevant sheet"/>
    <x:tableColumn id="8" name="Relevant metric or cell"/>
    <x:tableColumn id="9" name="Source or authority"/>
  </x:tableColumns>
  <x:tableStyleInfo name="TableStyleMedium2" showRowStripes="1"/>
</x:table>
</file>

<file path=xl/tables/table2.xml><?xml version="1.0" encoding="utf-8"?>
<x:table xmlns:x="http://schemas.openxmlformats.org/spreadsheetml/2006/main" id="2" name="GuidedFormulaDictionary" displayName="GuidedFormulaDictionary" ref="A4:W24" headerRowCount="1">
  <x:tableColumns count="23">
    <x:tableColumn id="1" name="Metric ID"/>
    <x:tableColumn id="2" name="Metric name"/>
    <x:tableColumn id="3" name="Plain-English question answered"/>
    <x:tableColumn id="4" name="Perspective"/>
    <x:tableColumn id="5" name="Time period"/>
    <x:tableColumn id="6" name="Units"/>
    <x:tableColumn id="7" name="Formula in words"/>
    <x:tableColumn id="8" name="Mathematical formula"/>
    <x:tableColumn id="9" name="Excel formula or location"/>
    <x:tableColumn id="10" name="Numerator"/>
    <x:tableColumn id="11" name="Denominator"/>
    <x:tableColumn id="12" name="Input assumptions"/>
    <x:tableColumn id="13" name="Source sheets"/>
    <x:tableColumn id="14" name="Output sheets"/>
    <x:tableColumn id="15" name="What a higher value means"/>
    <x:tableColumn id="16" name="What a lower value means"/>
    <x:tableColumn id="17" name="What the result does not mean"/>
    <x:tableColumn id="18" name="Evidence status"/>
    <x:tableColumn id="19" name="Main caveat"/>
    <x:tableColumn id="20" name="Double-counting control"/>
    <x:tableColumn id="21" name="Worked example"/>
    <x:tableColumn id="22" name="Relevant sheet"/>
    <x:tableColumn id="23" name="Relevant cell"/>
  </x:tableColumns>
  <x:tableStyleInfo name="TableStyleMedium2" showRowStripes="1"/>
</x: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3.xml.rels>&#65279;<?xml version="1.0" encoding="utf-8"?><Relationships xmlns="http://schemas.openxmlformats.org/package/2006/relationships"><Relationship Type="http://schemas.openxmlformats.org/officeDocument/2006/relationships/drawing" Target="/xl/drawings/drawing1.xml" Id="R89af690784ca4121" /></Relationships>
</file>

<file path=xl/worksheets/_rels/sheet6.xml.rels>&#65279;<?xml version="1.0" encoding="utf-8"?><Relationships xmlns="http://schemas.openxmlformats.org/package/2006/relationships"><Relationship Type="http://schemas.openxmlformats.org/officeDocument/2006/relationships/table" Target="/xl/tables/table1.xml" Id="R06e652d4ea5d49cb" /></Relationships>
</file>

<file path=xl/worksheets/_rels/sheet7.xml.rels>&#65279;<?xml version="1.0" encoding="utf-8"?><Relationships xmlns="http://schemas.openxmlformats.org/package/2006/relationships"><Relationship Type="http://schemas.openxmlformats.org/officeDocument/2006/relationships/table" Target="/xl/tables/table2.xml" Id="Radad1a78ecc64be2" /></Relationships>
</file>

<file path=xl/worksheets/sheet1.xml><?xml version="1.0" encoding="utf-8"?>
<x:worksheet xmlns:x="http://schemas.openxmlformats.org/spreadsheetml/2006/main">
  <x:sheetViews>
    <x:sheetView showGridLines="0" workbookViewId="0"/>
  </x:sheetViews>
  <x:sheetFormatPr defaultRowHeight="15"/>
  <x:cols>
    <x:col min="1" max="1" width="18" hidden="0" customWidth="1"/>
    <x:col min="2" max="2" width="38" hidden="0" customWidth="1"/>
    <x:col min="3" max="3" width="52" hidden="0" customWidth="1"/>
    <x:col min="4" max="4" width="40" hidden="0" customWidth="1"/>
  </x:cols>
  <x:sheetData>
    <x:row r="1" ht="28" customHeight="1">
      <x:c r="A1" s="1311" t="str">
        <x:v>Start Here — Guided Tour</x:v>
      </x:c>
      <x:c r="B1" s="1311"/>
      <x:c r="C1" s="1311"/>
      <x:c r="D1" s="1311"/>
    </x:row>
    <x:row r="2" ht="34" customHeight="1">
      <x:c r="A2" s="1400" t="str">
        <x:v>This workbook assesses Stage 0, a three-year pilot and conditional national delivery through participant, Crown fiscal and national economic perspectives.</x:v>
      </x:c>
      <x:c r="B2" s="1400"/>
      <x:c r="C2" s="1400"/>
      <x:c r="D2" s="1400"/>
    </x:row>
    <x:row r="3">
      <x:c r="A3" s="1398"/>
      <x:c r="B3" s="1398"/>
      <x:c r="C3" s="1398"/>
      <x:c r="D3" s="1398"/>
    </x:row>
    <x:row r="4">
      <x:c r="A4" s="1314" t="str">
        <x:v>What is being requested now?</x:v>
      </x:c>
      <x:c r="B4" s="1314"/>
      <x:c r="C4" s="1314"/>
      <x:c r="D4" s="1314"/>
    </x:row>
    <x:row r="5" ht="22" customHeight="1">
      <x:c r="A5" s="1402" t="str">
        <x:v>Approve and fund Stage 0 feasibility, co-design, legal and data architecture, economic validation and the full business case. The pilot and national rollout remain conditional.</x:v>
      </x:c>
      <x:c r="B5" s="1402"/>
      <x:c r="C5" s="1402"/>
      <x:c r="D5" s="1402"/>
    </x:row>
    <x:row r="6" ht="22" customHeight="1">
      <x:c r="A6" s="1402"/>
      <x:c r="B6" s="1402"/>
      <x:c r="C6" s="1402"/>
      <x:c r="D6" s="1402"/>
    </x:row>
    <x:row r="7">
      <x:c r="A7" s="1398"/>
      <x:c r="B7" s="1398"/>
      <x:c r="C7" s="1398"/>
      <x:c r="D7" s="1398"/>
    </x:row>
    <x:row r="8">
      <x:c r="A8" s="1314" t="str">
        <x:v>Three financial perspectives</x:v>
      </x:c>
      <x:c r="B8" s="1314"/>
      <x:c r="C8" s="1314"/>
      <x:c r="D8" s="1314"/>
    </x:row>
    <x:row r="9">
      <x:c r="A9" s="1316" t="str">
        <x:v>Perspective</x:v>
      </x:c>
      <x:c r="B9" s="1316" t="str">
        <x:v>Question</x:v>
      </x:c>
      <x:c r="C9" s="1316" t="str">
        <x:v>Typical outputs</x:v>
      </x:c>
      <x:c r="D9" s="1316" t="str">
        <x:v>Critical distinction</x:v>
      </x:c>
    </x:row>
    <x:row r="10" ht="42" customHeight="1">
      <x:c r="A10" s="1383" t="str">
        <x:v>Participant</x:v>
      </x:c>
      <x:c r="B10" s="1383" t="str">
        <x:v>What financial resource or choice may a student gain?</x:v>
      </x:c>
      <x:c r="C10" s="1383" t="str">
        <x:v>Immediate payment, Learning Capital, debt displaced</x:v>
      </x:c>
      <x:c r="D10" s="1383" t="str">
        <x:v>Not automatically a Crown saving</x:v>
      </x:c>
    </x:row>
    <x:row r="11" ht="42" customHeight="1">
      <x:c r="A11" s="1383" t="str">
        <x:v>Crown fiscal</x:v>
      </x:c>
      <x:c r="B11" s="1383" t="str">
        <x:v>What happens to public expenditure and revenue?</x:v>
      </x:c>
      <x:c r="C11" s="1383" t="str">
        <x:v>Appropriation, tax, benefits, fair-value loan cost, fiscal coverage</x:v>
      </x:c>
      <x:c r="D11" s="1383" t="str">
        <x:v>Does not include all social value</x:v>
      </x:c>
    </x:row>
    <x:row r="12" ht="42" customHeight="1">
      <x:c r="A12" s="1383" t="str">
        <x:v>National social / economic</x:v>
      </x:c>
      <x:c r="B12" s="1383" t="str">
        <x:v>Are included national benefits worth the included costs?</x:v>
      </x:c>
      <x:c r="C12" s="1383" t="str">
        <x:v>Full-expenditure BCR, technical alternative participant-transfer treatment, earnings PV</x:v>
      </x:c>
      <x:c r="D12" s="1383" t="str">
        <x:v>Not Government cash profit</x:v>
      </x:c>
    </x:row>
    <x:row r="13">
      <x:c r="A13" s="1398"/>
      <x:c r="B13" s="1398"/>
      <x:c r="C13" s="1398"/>
      <x:c r="D13" s="1398"/>
    </x:row>
    <x:row r="14">
      <x:c r="A14" s="1314" t="str">
        <x:v>Recommended reading order</x:v>
      </x:c>
      <x:c r="B14" s="1314"/>
      <x:c r="C14" s="1314"/>
      <x:c r="D14" s="1314"/>
    </x:row>
    <x:row r="15" ht="27" customHeight="1">
      <x:c r="A15" s="1404" t="n">
        <x:v>1</x:v>
      </x:c>
      <x:c r="B15" s="1405" t="str">
        <x:v>Public Financial Summary</x:v>
      </x:c>
      <x:c r="C15" s="1383" t="str">
        <x:v>One-page public result and current decision.</x:v>
      </x:c>
      <x:c r="D15" s="1383" t="str"/>
    </x:row>
    <x:row r="16" ht="27" customHeight="1">
      <x:c r="A16" s="1404" t="n">
        <x:v>2</x:v>
      </x:c>
      <x:c r="B16" s="1405" t="str">
        <x:v>Executive Summary</x:v>
      </x:c>
      <x:c r="C16" s="1383" t="str">
        <x:v>Detailed financial headlines.</x:v>
      </x:c>
      <x:c r="D16" s="1383" t="str"/>
    </x:row>
    <x:row r="17" ht="27" customHeight="1">
      <x:c r="A17" s="1404" t="n">
        <x:v>3</x:v>
      </x:c>
      <x:c r="B17" s="1405" t="str">
        <x:v>Delivery Scenarios</x:v>
      </x:c>
      <x:c r="C17" s="1383" t="str">
        <x:v>Costs and the lower-cost structural scenario.</x:v>
      </x:c>
      <x:c r="D17" s="1383" t="str"/>
    </x:row>
    <x:row r="18" ht="27" customHeight="1">
      <x:c r="A18" s="1404" t="n">
        <x:v>4</x:v>
      </x:c>
      <x:c r="B18" s="1405" t="str">
        <x:v>Earnings Uplift Bridge</x:v>
      </x:c>
      <x:c r="C18" s="1383" t="str">
        <x:v>Affected-population and scenario-specific cohort-equivalent results.</x:v>
      </x:c>
      <x:c r="D18" s="1383" t="str"/>
    </x:row>
    <x:row r="19" ht="27" customHeight="1">
      <x:c r="A19" s="1404" t="n">
        <x:v>5</x:v>
      </x:c>
      <x:c r="B19" s="1405" t="str">
        <x:v>Benefits &amp; BCR / Human Capital &amp; Earnings</x:v>
      </x:c>
      <x:c r="C19" s="1383" t="str">
        <x:v>Benefits, BCRs, fiscal coverage and break-even.</x:v>
      </x:c>
      <x:c r="D19" s="1383" t="str"/>
    </x:row>
    <x:row r="20" ht="27" customHeight="1">
      <x:c r="A20" s="1404" t="n">
        <x:v>6</x:v>
      </x:c>
      <x:c r="B20" s="1405" t="str">
        <x:v>Stage-Gate Tests / Validation Log</x:v>
      </x:c>
      <x:c r="C20" s="1383" t="str">
        <x:v>What must be proven before later stages.</x:v>
      </x:c>
      <x:c r="D20" s="1383" t="str"/>
    </x:row>
    <x:row r="21" ht="27" customHeight="1">
      <x:c r="A21" s="1404" t="n">
        <x:v>7</x:v>
      </x:c>
      <x:c r="B21" s="1405" t="str">
        <x:v>Glossary &amp; Key Concepts</x:v>
      </x:c>
      <x:c r="C21" s="1383" t="str">
        <x:v>Financial and modelling terms.</x:v>
      </x:c>
      <x:c r="D21" s="1383" t="str"/>
    </x:row>
    <x:row r="22" ht="27" customHeight="1">
      <x:c r="A22" s="1404" t="n">
        <x:v>8</x:v>
      </x:c>
      <x:c r="B22" s="1405" t="str">
        <x:v>Formula Dictionary / Worked Examples</x:v>
      </x:c>
      <x:c r="C22" s="1383" t="str">
        <x:v>Calculation detail when needed.</x:v>
      </x:c>
      <x:c r="D22" s="1383" t="str"/>
    </x:row>
    <x:row r="23">
      <x:c r="A23" s="1398"/>
      <x:c r="B23" s="1398"/>
      <x:c r="C23" s="1398"/>
      <x:c r="D23" s="1398"/>
    </x:row>
    <x:row r="24" ht="24" customHeight="1">
      <x:c r="A24" s="1406" t="str">
        <x:v>Glossary direction: open “Glossary &amp; Key Concepts”. Written labels accompany colour; amber means provisional, illustrative or evidence-dependent.</x:v>
      </x:c>
      <x:c r="B24" s="1406"/>
      <x:c r="C24" s="1406"/>
      <x:c r="D24" s="1406"/>
    </x:row>
    <x:row r="25" ht="24" customHeight="1">
      <x:c r="A25" s="1406"/>
      <x:c r="B25" s="1406"/>
      <x:c r="C25" s="1406"/>
      <x:c r="D25" s="1406"/>
    </x:row>
  </x:sheetData>
  <x:mergeCells>
    <x:mergeCell ref="A1:D1"/>
    <x:mergeCell ref="A2:D2"/>
    <x:mergeCell ref="A4:D4"/>
    <x:mergeCell ref="A5:D6"/>
    <x:mergeCell ref="A8:D8"/>
    <x:mergeCell ref="A14:D14"/>
    <x:mergeCell ref="A24:D25"/>
  </x:mergeCells>
  <x:pageMargins left="0.7" right="0.7" top="0.75" bottom="0.75" header="0.3" footer="0.3"/>
</x:worksheet>
</file>

<file path=xl/worksheets/sheet2.xml><?xml version="1.0" encoding="utf-8"?>
<x:worksheet xmlns:x="http://schemas.openxmlformats.org/spreadsheetml/2006/main">
  <x:sheetViews>
    <x:sheetView showGridLines="0" workbookViewId="0"/>
  </x:sheetViews>
  <x:sheetFormatPr defaultRowHeight="15"/>
  <x:cols>
    <x:col min="1" max="1" width="21" hidden="0" customWidth="1"/>
    <x:col min="2" max="2" width="15" hidden="0" customWidth="1"/>
    <x:col min="3" max="3" width="14" hidden="0" customWidth="1"/>
    <x:col min="4" max="4" width="18" hidden="0" customWidth="1"/>
    <x:col min="5" max="5" width="21" hidden="0" customWidth="1"/>
    <x:col min="6" max="6" width="15" hidden="0" customWidth="1"/>
    <x:col min="7" max="7" width="14" hidden="0" customWidth="1"/>
    <x:col min="8" max="8" width="18" hidden="0" customWidth="1"/>
    <x:col min="9" max="9" width="17" hidden="0" customWidth="1"/>
    <x:col min="10" max="10" width="28" hidden="0" customWidth="1"/>
  </x:cols>
  <x:sheetData>
    <x:row r="1" ht="28" customHeight="1">
      <x:c r="A1" s="1259" t="str">
        <x:v>He Ara Angitū — Public Financial Summary</x:v>
      </x:c>
      <x:c r="B1" s="1259"/>
      <x:c r="C1" s="1259"/>
      <x:c r="D1" s="1259"/>
      <x:c r="E1" s="1259"/>
      <x:c r="F1" s="1259"/>
      <x:c r="G1" s="1259"/>
      <x:c r="H1" s="1259"/>
      <x:c r="I1" s="1259"/>
      <x:c r="J1" s="1259"/>
    </x:row>
    <x:row r="2">
      <x:c r="A2" s="1261" t="str">
        <x:v>Stage 0 feasibility and co-design, a bounded three-year pilot, and conditional national scenarios. All figures are formula-linked to the detailed financial model.</x:v>
      </x:c>
      <x:c r="B2" s="1261"/>
      <x:c r="C2" s="1261"/>
      <x:c r="D2" s="1261"/>
      <x:c r="E2" s="1261"/>
      <x:c r="F2" s="1261"/>
      <x:c r="G2" s="1261"/>
      <x:c r="H2" s="1261"/>
      <x:c r="I2" s="1261"/>
      <x:c r="J2" s="1261"/>
    </x:row>
    <x:row r="3">
      <x:c r="A3" s="26"/>
      <x:c r="B3" s="26"/>
      <x:c r="C3" s="26"/>
      <x:c r="D3" s="26"/>
      <x:c r="E3" s="26"/>
      <x:c r="F3" s="26"/>
      <x:c r="G3" s="26"/>
      <x:c r="H3" s="26"/>
      <x:c r="I3" s="26"/>
      <x:c r="J3" s="26"/>
    </x:row>
    <x:row r="4" ht="22" customHeight="1">
      <x:c r="A4" s="1264" t="str">
        <x:v>WHAT IS BEING REQUESTED NOW?  Approve and fund Stage 0 feasibility, co-design, legal and data architecture, economic validation and the full business case. This is not a request to approve the pilot or national rollout.</x:v>
      </x:c>
      <x:c r="B4" s="1264"/>
      <x:c r="C4" s="1264"/>
      <x:c r="D4" s="1264"/>
      <x:c r="E4" s="1264"/>
      <x:c r="F4" s="1264"/>
      <x:c r="G4" s="1264"/>
      <x:c r="H4" s="1264"/>
      <x:c r="I4" s="1264"/>
      <x:c r="J4" s="1264"/>
    </x:row>
    <x:row r="5" ht="22" customHeight="1">
      <x:c r="A5" s="1264"/>
      <x:c r="B5" s="1264"/>
      <x:c r="C5" s="1264"/>
      <x:c r="D5" s="1264"/>
      <x:c r="E5" s="1264"/>
      <x:c r="F5" s="1264"/>
      <x:c r="G5" s="1264"/>
      <x:c r="H5" s="1264"/>
      <x:c r="I5" s="1264"/>
      <x:c r="J5" s="1264"/>
    </x:row>
    <x:row r="6">
      <x:c r="A6" s="26"/>
      <x:c r="B6" s="26"/>
      <x:c r="C6" s="26"/>
      <x:c r="D6" s="26"/>
      <x:c r="E6" s="26"/>
      <x:c r="F6" s="26"/>
      <x:c r="G6" s="26"/>
      <x:c r="H6" s="26"/>
      <x:c r="I6" s="26"/>
      <x:c r="J6" s="26"/>
    </x:row>
    <x:row r="7">
      <x:c r="A7" s="1210" t="str">
        <x:v>Stage and scenario costs</x:v>
      </x:c>
      <x:c r="B7" s="1210"/>
      <x:c r="C7" s="1210"/>
      <x:c r="D7" s="1210"/>
      <x:c r="E7" s="1210"/>
      <x:c r="F7" s="1210"/>
      <x:c r="G7" s="1210"/>
      <x:c r="H7" s="1210"/>
      <x:c r="I7" s="1210"/>
      <x:c r="J7" s="1210"/>
    </x:row>
    <x:row r="8">
      <x:c r="A8" s="1218" t="str">
        <x:v>Stage / scenario</x:v>
      </x:c>
      <x:c r="B8" s="1218" t="str">
        <x:v>Period</x:v>
      </x:c>
      <x:c r="C8" s="1218" t="str">
        <x:v>Cost (NZD million)</x:v>
      </x:c>
      <x:c r="D8" s="1218" t="str">
        <x:v>Decision status</x:v>
      </x:c>
      <x:c r="E8" s="1218" t="str">
        <x:v>Stage / scenario</x:v>
      </x:c>
      <x:c r="F8" s="1218" t="str">
        <x:v>Period</x:v>
      </x:c>
      <x:c r="G8" s="1218" t="str">
        <x:v>Cost (NZD million)</x:v>
      </x:c>
      <x:c r="H8" s="1218" t="str">
        <x:v>Decision status</x:v>
      </x:c>
      <x:c r="I8" s="1218" t="str">
        <x:v>Evidence status</x:v>
      </x:c>
      <x:c r="J8" s="1218" t="str">
        <x:v>Public interpretation</x:v>
      </x:c>
    </x:row>
    <x:row r="9">
      <x:c r="A9" s="26" t="str">
        <x:v>Stage 0 feasibility and co-design</x:v>
      </x:c>
      <x:c r="B9" s="26" t="str">
        <x:v>Year 0</x:v>
      </x:c>
      <x:c r="C9" s="1377" t="n">
        <x:f>'Stage 0 - Year 0'!H54/1000000</x:f>
        <x:v>5.317875</x:v>
      </x:c>
      <x:c r="D9" s="1207" t="str">
        <x:v>Immediate decision sought</x:v>
      </x:c>
      <x:c r="E9" s="26" t="str">
        <x:v>Three-year pilot</x:v>
      </x:c>
      <x:c r="F9" s="26" t="str">
        <x:v>Three years</x:v>
      </x:c>
      <x:c r="G9" s="1377" t="n">
        <x:f>'Stage 1 - Pilot'!E6/1000000</x:f>
        <x:v>97.579970263125</x:v>
      </x:c>
      <x:c r="H9" s="1222" t="str">
        <x:v>Conditional on Stage 0</x:v>
      </x:c>
      <x:c r="I9" s="1222" t="str">
        <x:v>Planning estimate</x:v>
      </x:c>
      <x:c r="J9" s="26" t="str">
        <x:v>Stage 0 must complete the legal, data, delivery and economic case.</x:v>
      </x:c>
    </x:row>
    <x:row r="10">
      <x:c r="A10" s="26" t="str">
        <x:v>Universal core only</x:v>
      </x:c>
      <x:c r="B10" s="26" t="str">
        <x:v>Annual national</x:v>
      </x:c>
      <x:c r="C10" s="1377" t="n">
        <x:f>'Delivery Scenarios'!G20/1000000</x:f>
        <x:v>825.1368703583333</x:v>
      </x:c>
      <x:c r="D10" s="1207" t="str">
        <x:v>Scenario comparator</x:v>
      </x:c>
      <x:c r="E10" s="26" t="str">
        <x:v>Core plus targeted accelerator</x:v>
      </x:c>
      <x:c r="F10" s="26" t="str">
        <x:v>Annual national</x:v>
      </x:c>
      <x:c r="G10" s="1377" t="n">
        <x:f>'Delivery Scenarios'!G21/1000000</x:f>
        <x:v>875.0157503583333</x:v>
      </x:c>
      <x:c r="H10" s="1222" t="str">
        <x:v>Leading testable structural scenario</x:v>
      </x:c>
      <x:c r="I10" s="1222" t="str">
        <x:v>Scenario only</x:v>
      </x:c>
      <x:c r="J10" s="26" t="str">
        <x:v>Lower-cost structure; retained high-risk effect is unproven.</x:v>
      </x:c>
    </x:row>
    <x:row r="11">
      <x:c r="A11" s="26" t="str">
        <x:v>Mature full national design</x:v>
      </x:c>
      <x:c r="B11" s="26" t="str">
        <x:v>Annual national</x:v>
      </x:c>
      <x:c r="C11" s="1377" t="n">
        <x:f>'Stage 2 - National'!K48/1000000</x:f>
        <x:v>1526.1377290833334</x:v>
      </x:c>
      <x:c r="D11" s="1207" t="str">
        <x:v>Planning comparator only</x:v>
      </x:c>
      <x:c r="E11" s="26" t="str">
        <x:v>Detailed model</x:v>
      </x:c>
      <x:c r="F11" s="26" t="str">
        <x:v>All stages</x:v>
      </x:c>
      <x:c r="G11" s="26"/>
      <x:c r="H11" s="1222" t="str">
        <x:v>See the detailed workbook sheets</x:v>
      </x:c>
      <x:c r="I11" s="1222" t="str">
        <x:v>Conditional</x:v>
      </x:c>
      <x:c r="J11" s="26" t="str">
        <x:v>National rollout remains conditional on Stage 0 and pilot evidence.</x:v>
      </x:c>
    </x:row>
    <x:row r="12">
      <x:c r="A12" s="26"/>
      <x:c r="B12" s="26"/>
      <x:c r="C12" s="26"/>
      <x:c r="D12" s="26"/>
      <x:c r="E12" s="26"/>
      <x:c r="F12" s="26"/>
      <x:c r="G12" s="26"/>
      <x:c r="H12" s="26"/>
      <x:c r="I12" s="26"/>
      <x:c r="J12" s="26"/>
    </x:row>
    <x:row r="13">
      <x:c r="A13" s="1210" t="str">
        <x:v>Why small gains across a broad cohort matter</x:v>
      </x:c>
      <x:c r="B13" s="1210"/>
      <x:c r="C13" s="1210"/>
      <x:c r="D13" s="1210"/>
      <x:c r="E13" s="1210"/>
      <x:c r="F13" s="1210"/>
      <x:c r="G13" s="1210"/>
      <x:c r="H13" s="1210"/>
      <x:c r="I13" s="1210"/>
      <x:c r="J13" s="1210"/>
    </x:row>
    <x:row r="14" ht="28" customHeight="1">
      <x:c r="A14" s="1270" t="str">
        <x:v>Verified participation</x:v>
      </x:c>
      <x:c r="B14" s="1270"/>
      <x:c r="C14" s="1270" t="str">
        <x:v>Stronger engagement
and attainment</x:v>
      </x:c>
      <x:c r="D14" s="1270"/>
      <x:c r="E14" s="1270" t="str">
        <x:v>Better transition
and completion</x:v>
      </x:c>
      <x:c r="F14" s="1270"/>
      <x:c r="G14" s="1270" t="str">
        <x:v>Improved employment
continuity</x:v>
      </x:c>
      <x:c r="H14" s="1270"/>
      <x:c r="I14" s="1270" t="str">
        <x:v>Higher earnings
potential</x:v>
      </x:c>
      <x:c r="J14" s="1270"/>
    </x:row>
    <x:row r="15" ht="28" customHeight="1">
      <x:c r="A15" s="1270"/>
      <x:c r="B15" s="1270"/>
      <x:c r="C15" s="1270"/>
      <x:c r="D15" s="1270"/>
      <x:c r="E15" s="1270"/>
      <x:c r="F15" s="1270"/>
      <x:c r="G15" s="1270"/>
      <x:c r="H15" s="1270"/>
      <x:c r="I15" s="1270"/>
      <x:c r="J15" s="1270"/>
    </x:row>
    <x:row r="16" ht="24" customHeight="1">
      <x:c r="A16" s="1271" t="str">
        <x:v>Preventing severe sustained outcomes among young people not in employment, education or training (NEET) remains an important high-risk pathway, but it is not the only route to value. Participants do not need to move from NEET to non-NEET for the programme to create an economic benefit. Smaller improvements across many students may create substantial cumulative value.</x:v>
      </x:c>
      <x:c r="B16" s="1271"/>
      <x:c r="C16" s="1271"/>
      <x:c r="D16" s="1271"/>
      <x:c r="E16" s="1271"/>
      <x:c r="F16" s="1271"/>
      <x:c r="G16" s="1271"/>
      <x:c r="H16" s="1271"/>
      <x:c r="I16" s="1271"/>
      <x:c r="J16" s="1271"/>
    </x:row>
    <x:row r="17" ht="24" customHeight="1">
      <x:c r="A17" s="1271"/>
      <x:c r="B17" s="1271"/>
      <x:c r="C17" s="1271"/>
      <x:c r="D17" s="1271"/>
      <x:c r="E17" s="1271"/>
      <x:c r="F17" s="1271"/>
      <x:c r="G17" s="1271"/>
      <x:c r="H17" s="1271"/>
      <x:c r="I17" s="1271"/>
      <x:c r="J17" s="1271"/>
    </x:row>
    <x:row r="18">
      <x:c r="A18" s="26"/>
      <x:c r="B18" s="26"/>
      <x:c r="C18" s="26"/>
      <x:c r="D18" s="26"/>
      <x:c r="E18" s="26"/>
      <x:c r="F18" s="26"/>
      <x:c r="G18" s="26"/>
      <x:c r="H18" s="26"/>
      <x:c r="I18" s="26"/>
      <x:c r="J18" s="26"/>
    </x:row>
    <x:row r="19">
      <x:c r="A19" s="1210" t="str">
        <x:v>One-percent whole-cohort earnings sensitivity — mature national design</x:v>
      </x:c>
      <x:c r="B19" s="1210"/>
      <x:c r="C19" s="1210"/>
      <x:c r="D19" s="1210"/>
      <x:c r="E19" s="1210"/>
      <x:c r="F19" s="1210"/>
      <x:c r="G19" s="1210"/>
      <x:c r="H19" s="1210"/>
      <x:c r="I19" s="1210"/>
      <x:c r="J19" s="1210"/>
    </x:row>
    <x:row r="20">
      <x:c r="A20" s="1218" t="str">
        <x:v>Annual eligible cohort</x:v>
      </x:c>
      <x:c r="B20" s="1218" t="str">
        <x:v>Averted sustained-NEET cases</x:v>
      </x:c>
      <x:c r="C20" s="1218" t="str">
        <x:v>Broad non-overlap cohort</x:v>
      </x:c>
      <x:c r="D20" s="1218" t="str">
        <x:v>Effective affected employed population</x:v>
      </x:c>
      <x:c r="E20" s="1218" t="str">
        <x:v>Affected-population uplift</x:v>
      </x:c>
      <x:c r="F20" s="1218" t="str">
        <x:v>Full-cohort equivalent uplift</x:v>
      </x:c>
      <x:c r="G20" s="1218" t="str">
        <x:v>Lifetime earnings PV — 2%</x:v>
      </x:c>
      <x:c r="H20" s="1218" t="str">
        <x:v>Full-expenditure BCR — 2%</x:v>
      </x:c>
      <x:c r="I20" s="1218" t="str">
        <x:v>Alternative participant-transfer treatment</x:v>
      </x:c>
      <x:c r="J20" s="1218" t="str">
        <x:v>Crown fiscal coverage — 2%</x:v>
      </x:c>
    </x:row>
    <x:row r="21">
      <x:c r="A21" s="1378" t="n">
        <x:f>'Human Capital &amp; Earnings'!B29</x:f>
        <x:v>62348.6</x:v>
      </x:c>
      <x:c r="B21" s="1378" t="n">
        <x:f>'Benefits &amp; BCR'!C18</x:f>
        <x:v>1402.8434999999997</x:v>
      </x:c>
      <x:c r="C21" s="1378" t="n">
        <x:f>'Human Capital &amp; Earnings'!B31</x:f>
        <x:v>60945.756499999996</x:v>
      </x:c>
      <x:c r="D21" s="1378" t="n">
        <x:f>'Human Capital &amp; Earnings'!B41</x:f>
        <x:v>8583.853270349473</x:v>
      </x:c>
      <x:c r="E21" s="1379" t="n">
        <x:f>'Human Capital &amp; Earnings'!A99</x:f>
        <x:v>0.01</x:v>
      </x:c>
      <x:c r="F21" s="1379" t="n">
        <x:f>'Human Capital &amp; Earnings'!D141</x:f>
        <x:v>0.0016197077249999999</x:v>
      </x:c>
      <x:c r="G21" s="1377" t="n">
        <x:f>'Human Capital &amp; Earnings'!C99/1000000</x:f>
        <x:v>196.03629385650922</x:v>
      </x:c>
      <x:c r="H21" s="1389" t="n">
        <x:f>'Human Capital &amp; Earnings'!J99</x:f>
        <x:v>0.3817901563689555</x:v>
      </x:c>
      <x:c r="I21" s="1390" t="str">
        <x:v>Technical methodology only</x:v>
      </x:c>
      <x:c r="J21" s="1391" t="n">
        <x:f>('Human Capital &amp; Earnings'!$E$116+'Human Capital &amp; Earnings'!$H$116+'Human Capital &amp; Earnings'!$I$116+'Delivery Scenarios'!$K$23)/'Human Capital &amp; Earnings'!$C$116</x:f>
        <x:v>0.15307249872414824</x:v>
      </x:c>
    </x:row>
    <x:row r="22" ht="24" customHeight="1">
      <x:c r="A22" s="1236" t="str">
        <x:v>The earnings uplift does not apply uniformly to every student. The cohort-equivalent figure shows the same total modelled value expressed as an average across the full annual cohort. This is a sensitivity, not a demonstrated programme outcome.</x:v>
      </x:c>
      <x:c r="B22" s="1236"/>
      <x:c r="C22" s="1236"/>
      <x:c r="D22" s="1236"/>
      <x:c r="E22" s="1236"/>
      <x:c r="F22" s="1236"/>
      <x:c r="G22" s="1236"/>
      <x:c r="H22" s="1236"/>
      <x:c r="I22" s="1236"/>
      <x:c r="J22" s="1236"/>
    </x:row>
    <x:row r="23" ht="24" customHeight="1">
      <x:c r="A23" s="1236"/>
      <x:c r="B23" s="1236"/>
      <x:c r="C23" s="1236"/>
      <x:c r="D23" s="1236"/>
      <x:c r="E23" s="1236"/>
      <x:c r="F23" s="1236"/>
      <x:c r="G23" s="1236"/>
      <x:c r="H23" s="1236"/>
      <x:c r="I23" s="1236"/>
      <x:c r="J23" s="1236"/>
    </x:row>
    <x:row r="24">
      <x:c r="A24" s="26"/>
      <x:c r="B24" s="26"/>
      <x:c r="C24" s="26"/>
      <x:c r="D24" s="26"/>
      <x:c r="E24" s="26"/>
      <x:c r="F24" s="26"/>
      <x:c r="G24" s="26"/>
      <x:c r="H24" s="26"/>
      <x:c r="I24" s="26"/>
      <x:c r="J24" s="26"/>
    </x:row>
    <x:row r="25">
      <x:c r="A25" s="1210" t="str">
        <x:v>Understanding the returns — mature national design at the 1% earnings sensitivity</x:v>
      </x:c>
      <x:c r="B25" s="1210"/>
      <x:c r="C25" s="1210"/>
      <x:c r="D25" s="1210"/>
      <x:c r="E25" s="1210"/>
      <x:c r="F25" s="1210"/>
      <x:c r="G25" s="1210"/>
      <x:c r="H25" s="1210"/>
      <x:c r="I25" s="1210"/>
      <x:c r="J25" s="1210"/>
    </x:row>
    <x:row r="26">
      <x:c r="A26" s="1316" t="str">
        <x:v>Metric</x:v>
      </x:c>
      <x:c r="B26" s="1316" t="str">
        <x:v>Result</x:v>
      </x:c>
      <x:c r="C26" s="1316" t="str">
        <x:v>Status</x:v>
      </x:c>
      <x:c r="D26" s="1316" t="str">
        <x:v>What it measures</x:v>
      </x:c>
      <x:c r="E26" s="1316" t="str">
        <x:v>Metric</x:v>
      </x:c>
      <x:c r="F26" s="1316" t="str">
        <x:v>Result</x:v>
      </x:c>
      <x:c r="G26" s="1316" t="str">
        <x:v>Status</x:v>
      </x:c>
      <x:c r="H26" s="1316" t="str">
        <x:v>What it measures</x:v>
      </x:c>
      <x:c r="I26" s="1316" t="str">
        <x:v>Rate</x:v>
      </x:c>
      <x:c r="J26" s="1316" t="str">
        <x:v>Critical clarification</x:v>
      </x:c>
    </x:row>
    <x:row r="27" ht="34" customHeight="1">
      <x:c r="A27" s="26" t="str">
        <x:v>Full-expenditure social BCR</x:v>
      </x:c>
      <x:c r="B27" s="1389" t="n">
        <x:f>'Human Capital &amp; Earnings'!$J$99</x:f>
        <x:v>0.3817901563689555</x:v>
      </x:c>
      <x:c r="C27" s="1392" t="str">
        <x:v>Below 1.00x</x:v>
      </x:c>
      <x:c r="D27" s="26" t="str">
        <x:v>Included social benefit per dollar of full public expenditure</x:v>
      </x:c>
      <x:c r="E27" s="26" t="str">
        <x:v>Crown fiscal coverage</x:v>
      </x:c>
      <x:c r="F27" s="1391" t="n">
        <x:f>('Human Capital &amp; Earnings'!$E$116+'Human Capital &amp; Earnings'!$H$116+'Human Capital &amp; Earnings'!$I$116+'Delivery Scenarios'!$K$23)/'Human Capital &amp; Earnings'!$C$116</x:f>
        <x:v>0.15307249872414824</x:v>
      </x:c>
      <x:c r="G27" s="1392" t="str">
        <x:v>Below 100%</x:v>
      </x:c>
      <x:c r="H27" s="26" t="str">
        <x:v>Valid Crown offsets relative to full Crown expenditure</x:v>
      </x:c>
      <x:c r="I27" s="26" t="str">
        <x:v>2% lead case</x:v>
      </x:c>
      <x:c r="J27" s="26" t="str">
        <x:v>The full-expenditure BCR is the principal public value-for-money result.</x:v>
      </x:c>
    </x:row>
    <x:row r="28" ht="34" customHeight="1">
      <x:c r="A28" s="26" t="str">
        <x:v>Conventional net social ROI</x:v>
      </x:c>
      <x:c r="B28" s="1393" t="n">
        <x:f>'Human Capital &amp; Earnings'!$J$99-1</x:f>
        <x:v>-0.6182098436310445</x:v>
      </x:c>
      <x:c r="C28" s="1392" t="str">
        <x:v>Negative</x:v>
      </x:c>
      <x:c r="D28" s="26" t="str">
        <x:v>(Full-expenditure BCR − 1) × 100</x:v>
      </x:c>
      <x:c r="E28" s="26" t="str">
        <x:v>Conventional net Crown fiscal ROI</x:v>
      </x:c>
      <x:c r="F28" s="1393" t="n">
        <x:f>('Human Capital &amp; Earnings'!$E$116+'Human Capital &amp; Earnings'!$H$116+'Human Capital &amp; Earnings'!$I$116+'Delivery Scenarios'!$K$23)/'Human Capital &amp; Earnings'!$C$116-1</x:f>
        <x:v>-0.8469275012758517</x:v>
      </x:c>
      <x:c r="G28" s="1392" t="str">
        <x:v>Negative</x:v>
      </x:c>
      <x:c r="H28" s="26" t="str">
        <x:v>(Fiscal coverage − 1) × 100</x:v>
      </x:c>
      <x:c r="I28" s="26" t="str">
        <x:v>2% lead case</x:v>
      </x:c>
      <x:c r="J28" s="26" t="str">
        <x:v>Social ROI is not Government profit.</x:v>
      </x:c>
    </x:row>
    <x:row r="29" ht="34" customHeight="1">
      <x:c r="A29" s="26" t="str">
        <x:v>Social break-even affected-population uplift</x:v>
      </x:c>
      <x:c r="B29" s="1394" t="n">
        <x:f>'Human Capital &amp; Earnings'!$J$116</x:f>
        <x:v>0.058127484370145754</x:v>
      </x:c>
      <x:c r="C29" s="1372" t="str">
        <x:v>Evidence hurdle</x:v>
      </x:c>
      <x:c r="D29" s="26" t="str">
        <x:v>Uplift required for full-expenditure BCR to reach 1.00x</x:v>
      </x:c>
      <x:c r="E29" s="26" t="str">
        <x:v>Crown fiscal break-even affected-population uplift</x:v>
      </x:c>
      <x:c r="F29" s="1394" t="n">
        <x:f>'Human Capital &amp; Earnings'!$K$116</x:f>
        <x:v>0.21211870542530076</x:v>
      </x:c>
      <x:c r="G29" s="1372" t="str">
        <x:v>Evidence hurdle</x:v>
      </x:c>
      <x:c r="H29" s="26" t="str">
        <x:v>Uplift required for fiscal coverage to reach 100%</x:v>
      </x:c>
      <x:c r="I29" s="26" t="str">
        <x:v>2% lead case</x:v>
      </x:c>
      <x:c r="J29" s="26" t="str">
        <x:v>These are reverse-calculated sensitivities, not forecasts.</x:v>
      </x:c>
    </x:row>
    <x:row r="30" ht="34" customHeight="1">
      <x:c r="A30" s="1392" t="str">
        <x:v>Net Crown fiscal cost</x:v>
      </x:c>
      <x:c r="B30" s="1395" t="n">
        <x:f>'Human Capital &amp; Earnings'!$C$116-('Human Capital &amp; Earnings'!$E$116+'Human Capital &amp; Earnings'!$H$116+'Human Capital &amp; Earnings'!$I$116+'Delivery Scenarios'!$K$23)</x:f>
        <x:v>1292528013.4953504</x:v>
      </x:c>
      <x:c r="C30" s="1392" t="str">
        <x:v>Net fiscal loss</x:v>
      </x:c>
      <x:c r="D30" s="26" t="str">
        <x:v>Full expenditure less valid Crown fiscal offsets</x:v>
      </x:c>
      <x:c r="E30" s="1372" t="str">
        <x:v>Alternative participant-transfer methodology</x:v>
      </x:c>
      <x:c r="F30" s="146" t="str">
        <x:v>May materially change the result; confirmation required.</x:v>
      </x:c>
      <x:c r="G30" s="146" t="str">
        <x:v>Provisional</x:v>
      </x:c>
      <x:c r="H30" s="146" t="str">
        <x:v>Detailed calculation retained</x:v>
      </x:c>
      <x:c r="I30" s="146" t="str">
        <x:v>Not a public headline</x:v>
      </x:c>
      <x:c r="J30" s="146" t="str">
        <x:v>Not Treasury-endorsed</x:v>
      </x:c>
    </x:row>
    <x:row r="31">
      <x:c r="A31" s="1210" t="str">
        <x:v>What the model concludes</x:v>
      </x:c>
      <x:c r="B31" s="1210"/>
      <x:c r="C31" s="1210"/>
      <x:c r="D31" s="1210"/>
      <x:c r="E31" s="1210"/>
      <x:c r="F31" s="1210"/>
      <x:c r="G31" s="1210"/>
      <x:c r="H31" s="1210"/>
      <x:c r="I31" s="1210"/>
      <x:c r="J31" s="1210"/>
    </x:row>
    <x:row r="32" ht="42" customHeight="1">
      <x:c r="A32" s="1285" t="str">
        <x:v>Current conclusion
Small broad gains materially improve the BCR, but the mature full national design remains below break-even on the principal full-expenditure view at modest earnings sensitivities.</x:v>
      </x:c>
      <x:c r="B32" s="1285"/>
      <x:c r="C32" s="1288" t="str">
        <x:v>What is proven
The workbook arithmetic, source traceability, discount-rate structure and double-counting controls. Programme outcome effects are not proven.</x:v>
      </x:c>
      <x:c r="D32" s="1288"/>
      <x:c r="E32" s="1291" t="str">
        <x:v>What remains a scenario
Whole-cohort earnings effects, delivery costs at scale, genuine loan displacement and retained high-risk effects in the lower-cost structure.</x:v>
      </x:c>
      <x:c r="F32" s="1291"/>
      <x:c r="G32" s="1291" t="str">
        <x:v>Before national scale
Stage 0 and the pilot must establish causal outcomes, equity, implementation quality, actual costs, labour-market safety and fiscal effects.</x:v>
      </x:c>
      <x:c r="H32" s="1291"/>
      <x:c r="I32" s="1288" t="str">
        <x:v>Detailed model
The alternative participant-transfer calculation is retained in the detailed model as a provisional, non-Treasury-confirmed methodology.</x:v>
      </x:c>
      <x:c r="J32" s="1288"/>
    </x:row>
    <x:row r="33" ht="42" customHeight="1">
      <x:c r="A33" s="1285"/>
      <x:c r="B33" s="1285"/>
      <x:c r="C33" s="1288"/>
      <x:c r="D33" s="1288"/>
      <x:c r="E33" s="1291"/>
      <x:c r="F33" s="1291"/>
      <x:c r="G33" s="1291"/>
      <x:c r="H33" s="1291"/>
      <x:c r="I33" s="1288"/>
      <x:c r="J33" s="1288"/>
    </x:row>
    <x:row r="34">
      <x:c r="A34" s="26"/>
      <x:c r="B34" s="26"/>
      <x:c r="C34" s="26"/>
      <x:c r="D34" s="26"/>
      <x:c r="E34" s="26"/>
      <x:c r="F34" s="26"/>
      <x:c r="G34" s="26"/>
      <x:c r="H34" s="26"/>
      <x:c r="I34" s="26"/>
      <x:c r="J34" s="26"/>
    </x:row>
    <x:row r="35" ht="54" customHeight="1">
      <x:c r="A35" s="1450" t="str">
        <x:v>LOWER-COST STRUCTURAL SCENARIO — The universal-core plus targeted-accelerator scenario is financially promising because it assumes substantially lower universal cost while retaining strong high-risk effects through targeted support. That retained effect has not been demonstrated and must be tested at 25%, 50%, 75% and 100%.</x:v>
      </x:c>
      <x:c r="B35" s="1450"/>
      <x:c r="C35" s="1450"/>
      <x:c r="D35" s="1450"/>
      <x:c r="E35" s="1450"/>
      <x:c r="F35" s="1450"/>
      <x:c r="G35" s="1450"/>
      <x:c r="H35" s="1450"/>
      <x:c r="I35" s="1450"/>
      <x:c r="J35" s="1450"/>
    </x:row>
    <x:row r="36" ht="12" customHeight="1">
      <x:c r="A36" s="1256"/>
      <x:c r="B36" s="1256"/>
      <x:c r="C36" s="1256"/>
      <x:c r="D36" s="1256"/>
      <x:c r="E36" s="1256"/>
      <x:c r="F36" s="1256"/>
      <x:c r="G36" s="1256"/>
      <x:c r="H36" s="1256"/>
      <x:c r="I36" s="1256"/>
      <x:c r="J36" s="1256"/>
    </x:row>
    <x:row r="37" ht="12" customHeight="1">
      <x:c r="A37" s="1256"/>
      <x:c r="B37" s="1256"/>
      <x:c r="C37" s="1256"/>
      <x:c r="D37" s="1256"/>
      <x:c r="E37" s="1256"/>
      <x:c r="F37" s="1256"/>
      <x:c r="G37" s="1256"/>
      <x:c r="H37" s="1256"/>
      <x:c r="I37" s="1256"/>
      <x:c r="J37" s="1256"/>
    </x:row>
  </x:sheetData>
  <x:mergeCells>
    <x:mergeCell ref="A1:J1"/>
    <x:mergeCell ref="A2:J2"/>
    <x:mergeCell ref="A4:J5"/>
    <x:mergeCell ref="A7:J7"/>
    <x:mergeCell ref="A13:J13"/>
    <x:mergeCell ref="A14:B15"/>
    <x:mergeCell ref="C14:D15"/>
    <x:mergeCell ref="E14:F15"/>
    <x:mergeCell ref="G14:H15"/>
    <x:mergeCell ref="I14:J15"/>
    <x:mergeCell ref="A16:J17"/>
    <x:mergeCell ref="A19:J19"/>
    <x:mergeCell ref="A22:J23"/>
    <x:mergeCell ref="A25:J25"/>
    <x:mergeCell ref="A31:J31"/>
    <x:mergeCell ref="A32:B33"/>
    <x:mergeCell ref="C32:D33"/>
    <x:mergeCell ref="E32:F33"/>
    <x:mergeCell ref="G32:H33"/>
    <x:mergeCell ref="I32:J33"/>
    <x:mergeCell ref="A35:J35"/>
  </x:mergeCells>
  <x:pageMargins left="0.7" right="0.7" top="0.75" bottom="0.75" header="0.3" footer="0.3"/>
</x:worksheet>
</file>

<file path=xl/worksheets/sheet3.xml><?xml version="1.0" encoding="utf-8"?>
<x:worksheet xmlns:x="http://schemas.openxmlformats.org/spreadsheetml/2006/main">
  <x:sheetFormatPr defaultRowHeight="15"/>
  <x:cols>
    <x:col min="1" max="1" width="48" hidden="0" customWidth="1"/>
    <x:col min="2" max="2" width="19" hidden="0" customWidth="1"/>
    <x:col min="3" max="3" width="48" hidden="0" customWidth="1"/>
    <x:col min="4" max="4" width="18" hidden="0" customWidth="1"/>
    <x:col min="5" max="5" width="27" hidden="0" customWidth="1"/>
    <x:col min="6" max="6" width="27" hidden="0" customWidth="1"/>
    <x:col min="7" max="7" width="27" hidden="0" customWidth="1"/>
    <x:col min="8" max="8" width="34" hidden="0" customWidth="1"/>
    <x:col min="9" max="9" width="18" hidden="0" customWidth="1"/>
    <x:col min="10" max="10" width="48" hidden="0" customWidth="1"/>
    <x:col min="11" max="11" width="18" hidden="0" customWidth="1"/>
    <x:col min="12" max="12" width="18" hidden="0" customWidth="1"/>
    <x:col min="21" max="21" width="20" hidden="0" customWidth="1"/>
    <x:col min="22" max="22" width="24" hidden="0" customWidth="1"/>
    <x:col min="23" max="23" width="24" hidden="0" customWidth="1"/>
    <x:col min="24" max="24" width="24" hidden="0" customWidth="1"/>
  </x:cols>
  <x:sheetData>
    <x:row r="1" ht="30" customHeight="1">
      <x:c r="A1" s="795" t="str">
        <x:v>He Ara Angitū — Standalone Three-Stage Financial Case</x:v>
      </x:c>
      <x:c r="B1" s="795"/>
      <x:c r="C1" s="795"/>
      <x:c r="D1" s="795"/>
      <x:c r="E1" s="795"/>
      <x:c r="F1" s="795"/>
      <x:c r="G1" s="795"/>
      <x:c r="H1" s="795"/>
      <x:c r="I1" s="795"/>
      <x:c r="J1" s="795"/>
      <x:c r="K1" s="795"/>
      <x:c r="L1" s="795"/>
      <x:c r="M1" s="339"/>
      <x:c r="N1" s="339"/>
      <x:c r="O1" s="339"/>
      <x:c r="P1" s="339"/>
      <x:c r="Q1" s="339"/>
      <x:c r="R1" s="339"/>
      <x:c r="S1" s="339"/>
      <x:c r="T1" s="339"/>
      <x:c r="U1" s="1194"/>
      <x:c r="V1" s="1194"/>
      <x:c r="W1" s="1194"/>
      <x:c r="X1" s="1194"/>
      <x:c r="Y1" s="339"/>
      <x:c r="Z1" s="339"/>
    </x:row>
    <x:row r="2" ht="24" customHeight="1">
      <x:c r="A2" s="796" t="str">
        <x:v>Stage 0 feasibility and co-design, a three-year pilot, and a conditional national implementation. NZD unless stated.</x:v>
      </x:c>
      <x:c r="B2" s="796"/>
      <x:c r="C2" s="796"/>
      <x:c r="D2" s="796"/>
      <x:c r="E2" s="796"/>
      <x:c r="F2" s="796"/>
      <x:c r="G2" s="796"/>
      <x:c r="H2" s="796"/>
      <x:c r="I2" s="796"/>
      <x:c r="J2" s="796"/>
      <x:c r="K2" s="796"/>
      <x:c r="L2" s="796"/>
      <x:c r="M2" s="339"/>
      <x:c r="N2" s="339"/>
      <x:c r="O2" s="339"/>
      <x:c r="P2" s="339"/>
      <x:c r="Q2" s="339"/>
      <x:c r="R2" s="339"/>
      <x:c r="S2" s="339"/>
      <x:c r="T2" s="339"/>
      <x:c r="U2" s="1195"/>
      <x:c r="V2" s="1195"/>
      <x:c r="W2" s="1195"/>
      <x:c r="X2" s="1195"/>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1195"/>
      <x:c r="V3" s="1195"/>
      <x:c r="W3" s="1195"/>
      <x:c r="X3" s="1195"/>
      <x:c r="Y3" s="339"/>
      <x:c r="Z3" s="339"/>
    </x:row>
    <x:row r="4">
      <x:c r="A4" s="1223" t="str">
        <x:v>Verified participation payments are split between immediate access and protected Learning Capital. The full payment remains programme expenditure; genuine student-loan displacement is valued through the official fair-value cost, without double counting.</x:v>
      </x:c>
      <x:c r="B4" s="1223"/>
      <x:c r="C4" s="1223"/>
      <x:c r="D4" s="1223"/>
      <x:c r="E4" s="1223"/>
      <x:c r="F4" s="1223"/>
      <x:c r="G4" s="1223"/>
      <x:c r="H4" s="1223"/>
      <x:c r="I4" s="1223"/>
      <x:c r="J4" s="1223"/>
      <x:c r="K4" s="1223"/>
      <x:c r="L4" s="1223"/>
      <x:c r="M4" s="339"/>
      <x:c r="N4" s="339"/>
      <x:c r="O4" s="339"/>
      <x:c r="P4" s="339"/>
      <x:c r="Q4" s="339"/>
      <x:c r="R4" s="339"/>
      <x:c r="S4" s="339"/>
      <x:c r="T4" s="339"/>
      <x:c r="U4" s="1195"/>
      <x:c r="V4" s="1195"/>
      <x:c r="W4" s="1195"/>
      <x:c r="X4" s="1195"/>
      <x:c r="Y4" s="339"/>
      <x:c r="Z4" s="339"/>
    </x:row>
    <x:row r="5">
      <x:c r="A5" s="799"/>
      <x:c r="B5" s="799"/>
      <x:c r="C5" s="799"/>
      <x:c r="D5" s="799"/>
      <x:c r="E5" s="799"/>
      <x:c r="F5" s="799"/>
      <x:c r="G5" s="799"/>
      <x:c r="H5" s="799"/>
      <x:c r="I5" s="799"/>
      <x:c r="J5" s="799"/>
      <x:c r="K5" s="799"/>
      <x:c r="L5" s="799"/>
      <x:c r="M5" s="339"/>
      <x:c r="N5" s="339"/>
      <x:c r="O5" s="339"/>
      <x:c r="P5" s="339"/>
      <x:c r="Q5" s="339"/>
      <x:c r="R5" s="339"/>
      <x:c r="S5" s="339"/>
      <x:c r="T5" s="339"/>
      <x:c r="U5" s="1195"/>
      <x:c r="V5" s="1195"/>
      <x:c r="W5" s="1195"/>
      <x:c r="X5" s="1195"/>
      <x:c r="Y5" s="339"/>
      <x:c r="Z5" s="339"/>
    </x:row>
    <x:row r="6">
      <x:c r="A6" s="800"/>
      <x:c r="B6" s="800"/>
      <x:c r="C6" s="800"/>
      <x:c r="D6" s="800"/>
      <x:c r="E6" s="800"/>
      <x:c r="F6" s="800"/>
      <x:c r="G6" s="800"/>
      <x:c r="H6" s="800"/>
      <x:c r="I6" s="800"/>
      <x:c r="J6" s="800"/>
      <x:c r="K6" s="800"/>
      <x:c r="L6" s="800"/>
      <x:c r="M6" s="339"/>
      <x:c r="N6" s="339"/>
      <x:c r="O6" s="339"/>
      <x:c r="P6" s="339"/>
      <x:c r="Q6" s="339"/>
      <x:c r="R6" s="339"/>
      <x:c r="S6" s="339"/>
      <x:c r="T6" s="339"/>
      <x:c r="U6" s="1195"/>
      <x:c r="V6" s="1195"/>
      <x:c r="W6" s="1195"/>
      <x:c r="X6" s="1195"/>
      <x:c r="Y6" s="339"/>
      <x:c r="Z6" s="339"/>
    </x:row>
    <x:row r="7" ht="21" customHeight="1">
      <x:c r="A7" s="342"/>
      <x:c r="B7" s="342"/>
      <x:c r="C7" s="342"/>
      <x:c r="D7" s="342"/>
      <x:c r="E7" s="342"/>
      <x:c r="F7" s="342"/>
      <x:c r="G7" s="339"/>
      <x:c r="H7" s="342"/>
      <x:c r="I7" s="342"/>
      <x:c r="J7" s="342"/>
      <x:c r="K7" s="342"/>
      <x:c r="L7" s="342"/>
      <x:c r="M7" s="339"/>
      <x:c r="N7" s="339"/>
      <x:c r="O7" s="339"/>
      <x:c r="P7" s="339"/>
      <x:c r="Q7" s="339"/>
      <x:c r="R7" s="339"/>
      <x:c r="S7" s="339"/>
      <x:c r="T7" s="339"/>
      <x:c r="U7" s="1195"/>
      <x:c r="V7" s="1195"/>
      <x:c r="W7" s="1195"/>
      <x:c r="X7" s="1195"/>
      <x:c r="Y7" s="339"/>
      <x:c r="Z7" s="339"/>
    </x:row>
    <x:row r="8" ht="23" customHeight="1">
      <x:c r="A8" s="801" t="str">
        <x:v>Three-stage cost range</x:v>
      </x:c>
      <x:c r="B8" s="801" t="str">
        <x:v>Three-stage cost range</x:v>
      </x:c>
      <x:c r="C8" s="801" t="str">
        <x:v>Three-stage cost range</x:v>
      </x:c>
      <x:c r="D8" s="801" t="str">
        <x:v>Three-stage cost range</x:v>
      </x:c>
      <x:c r="E8" s="801" t="str">
        <x:v>Three-stage cost range</x:v>
      </x:c>
      <x:c r="F8" s="801" t="str">
        <x:v>Three-stage cost range</x:v>
      </x:c>
      <x:c r="G8" s="339"/>
      <x:c r="H8" s="801" t="str">
        <x:v>Central participant financial outcome</x:v>
      </x:c>
      <x:c r="I8" s="801" t="str">
        <x:v>Central participant financial outcome</x:v>
      </x:c>
      <x:c r="J8" s="801" t="str">
        <x:v>Central participant financial outcome</x:v>
      </x:c>
      <x:c r="K8" s="801" t="str">
        <x:v>Central participant financial outcome</x:v>
      </x:c>
      <x:c r="L8" s="801" t="str">
        <x:v>Central participant financial outcome</x:v>
      </x:c>
      <x:c r="M8" s="339"/>
      <x:c r="N8" s="339"/>
      <x:c r="O8" s="339"/>
      <x:c r="P8" s="339"/>
      <x:c r="Q8" s="339"/>
      <x:c r="R8" s="339"/>
      <x:c r="S8" s="339"/>
      <x:c r="T8" s="339"/>
      <x:c r="U8" s="1194"/>
      <x:c r="V8" s="1194"/>
      <x:c r="W8" s="1194"/>
      <x:c r="X8" s="1194"/>
      <x:c r="Y8" s="339"/>
      <x:c r="Z8" s="339"/>
    </x:row>
    <x:row r="9" ht="28" customHeight="1">
      <x:c r="A9" s="803" t="str">
        <x:v>Stage</x:v>
      </x:c>
      <x:c r="B9" s="804" t="str">
        <x:v>Low</x:v>
      </x:c>
      <x:c r="C9" s="804" t="str">
        <x:v>Central</x:v>
      </x:c>
      <x:c r="D9" s="804" t="str">
        <x:v>High</x:v>
      </x:c>
      <x:c r="E9" s="339"/>
      <x:c r="F9" s="339"/>
      <x:c r="G9" s="339"/>
      <x:c r="H9" s="803" t="str">
        <x:v>Metric</x:v>
      </x:c>
      <x:c r="I9" s="805" t="str">
        <x:v>Central result</x:v>
      </x:c>
      <x:c r="J9" s="803" t="str">
        <x:v>Interpretation</x:v>
      </x:c>
      <x:c r="K9" s="339"/>
      <x:c r="L9" s="339"/>
      <x:c r="M9" s="339"/>
      <x:c r="N9" s="339"/>
      <x:c r="O9" s="339"/>
      <x:c r="P9" s="339"/>
      <x:c r="Q9" s="339"/>
      <x:c r="R9" s="339"/>
      <x:c r="S9" s="339"/>
      <x:c r="T9" s="339"/>
      <x:c r="U9" s="1194"/>
      <x:c r="V9" s="1194"/>
      <x:c r="W9" s="1194"/>
      <x:c r="X9" s="1194"/>
      <x:c r="Y9" s="339"/>
      <x:c r="Z9" s="339"/>
    </x:row>
    <x:row r="10">
      <x:c r="A10" s="58" t="str">
        <x:v>Stage 0 — Year 0 feasibility, co-design and business case</x:v>
      </x:c>
      <x:c r="B10" s="346" t="n">
        <x:f>'Stage 0 - Year 0'!$G$54</x:f>
        <x:v>4159760</x:v>
      </x:c>
      <x:c r="C10" s="346" t="n">
        <x:f>'Stage 0 - Year 0'!$H$54</x:f>
        <x:v>5317875</x:v>
      </x:c>
      <x:c r="D10" s="346" t="n">
        <x:f>'Stage 0 - Year 0'!$I$54</x:f>
        <x:v>7374120</x:v>
      </x:c>
      <x:c r="E10" s="339"/>
      <x:c r="F10" s="339"/>
      <x:c r="G10" s="339"/>
      <x:c r="H10" s="28" t="str">
        <x:v>Annual verified participation payment</x:v>
      </x:c>
      <x:c r="I10" s="345" t="n">
        <x:f>'Learning Capital &amp; ROI'!$C$8</x:f>
        <x:v>3900</x:v>
      </x:c>
      <x:c r="J10" s="28" t="str">
        <x:v>$1,950 immediately accessible and $1,950 protected.</x:v>
      </x:c>
      <x:c r="K10" s="339"/>
      <x:c r="L10" s="339"/>
      <x:c r="M10" s="339"/>
      <x:c r="N10" s="339"/>
      <x:c r="O10" s="339"/>
      <x:c r="P10" s="339"/>
      <x:c r="Q10" s="339"/>
      <x:c r="R10" s="339"/>
      <x:c r="S10" s="339"/>
      <x:c r="T10" s="339"/>
      <x:c r="U10" s="1194"/>
      <x:c r="V10" s="1194"/>
      <x:c r="W10" s="1194"/>
      <x:c r="X10" s="1194"/>
      <x:c r="Y10" s="339"/>
      <x:c r="Z10" s="339"/>
    </x:row>
    <x:row r="11">
      <x:c r="A11" s="28" t="str">
        <x:v>Stage 1 — Three-year pilot</x:v>
      </x:c>
      <x:c r="B11" s="344" t="n">
        <x:f>'Stage 1 - Pilot'!$E$5</x:f>
        <x:v>73226197.507575</x:v>
      </x:c>
      <x:c r="C11" s="344" t="n">
        <x:f>'Stage 1 - Pilot'!$E$6</x:f>
        <x:v>97579970.263125</x:v>
      </x:c>
      <x:c r="D11" s="344" t="n">
        <x:f>'Stage 1 - Pilot'!$E$7</x:f>
        <x:v>128447627.0175</x:v>
      </x:c>
      <x:c r="E11" s="339"/>
      <x:c r="F11" s="339"/>
      <x:c r="G11" s="339"/>
      <x:c r="H11" s="28" t="str">
        <x:v>Nominal five-year Learning Capital contribution</x:v>
      </x:c>
      <x:c r="I11" s="345" t="n">
        <x:f>'Learning Capital &amp; ROI'!$C$23</x:f>
        <x:v>9750</x:v>
      </x:c>
      <x:c r="J11" s="28" t="str">
        <x:v>Five annual protected contributions.</x:v>
      </x:c>
      <x:c r="K11" s="339"/>
      <x:c r="L11" s="339"/>
      <x:c r="M11" s="339"/>
      <x:c r="N11" s="339"/>
      <x:c r="O11" s="339"/>
      <x:c r="P11" s="339"/>
      <x:c r="Q11" s="339"/>
      <x:c r="R11" s="339"/>
      <x:c r="S11" s="339"/>
      <x:c r="T11" s="339"/>
      <x:c r="U11" s="1194"/>
      <x:c r="V11" s="1194"/>
      <x:c r="W11" s="1194"/>
      <x:c r="X11" s="1194"/>
      <x:c r="Y11" s="339"/>
      <x:c r="Z11" s="339"/>
    </x:row>
    <x:row r="12">
      <x:c r="A12" s="28" t="str">
        <x:v>Stage 2 — Mature annual national run-rate</x:v>
      </x:c>
      <x:c r="B12" s="344" t="n">
        <x:f>'Stage 2 - National'!$H$5</x:f>
        <x:v>987458315.885</x:v>
      </x:c>
      <x:c r="C12" s="344" t="n">
        <x:f>'Stage 2 - National'!$H$6</x:f>
        <x:v>1526137729.0833335</x:v>
      </x:c>
      <x:c r="D12" s="344" t="n">
        <x:f>'Stage 2 - National'!$H$7</x:f>
        <x:v>2007364967.65625</x:v>
      </x:c>
      <x:c r="E12" s="339"/>
      <x:c r="F12" s="339"/>
      <x:c r="G12" s="339"/>
      <x:c r="H12" s="28" t="str">
        <x:v>Projected closing nominal account balance</x:v>
      </x:c>
      <x:c r="I12" s="345" t="n">
        <x:f>'Learning Capital &amp; ROI'!$C$26</x:f>
        <x:v>10681.574885879425</x:v>
      </x:c>
      <x:c r="J12" s="28" t="str">
        <x:v>Includes uncertain net investment return and lifecycle de-risking.</x:v>
      </x:c>
      <x:c r="K12" s="339"/>
      <x:c r="L12" s="339"/>
      <x:c r="M12" s="339"/>
      <x:c r="N12" s="339"/>
      <x:c r="O12" s="339"/>
      <x:c r="P12" s="339"/>
      <x:c r="Q12" s="339"/>
      <x:c r="R12" s="339"/>
      <x:c r="S12" s="339"/>
      <x:c r="T12" s="339"/>
      <x:c r="U12" s="1194"/>
      <x:c r="V12" s="1194"/>
      <x:c r="W12" s="1194"/>
      <x:c r="X12" s="1194"/>
      <x:c r="Y12" s="339"/>
      <x:c r="Z12" s="339"/>
    </x:row>
    <x:row r="13">
      <x:c r="A13" s="28" t="str">
        <x:v>Stage 2 — Five-year implementation cash cost</x:v>
      </x:c>
      <x:c r="B13" s="344" t="n">
        <x:f>C13*('Stage 2 - National'!$H$5/'Stage 2 - National'!$H$6)</x:f>
        <x:v>2936170544.7533245</x:v>
      </x:c>
      <x:c r="C13" s="344" t="n">
        <x:f>'Stage 2 - National'!$J$48</x:f>
        <x:v>4537913727.8875</x:v>
      </x:c>
      <x:c r="D13" s="344" t="n">
        <x:f>C13*('Stage 2 - National'!$H$7/'Stage 2 - National'!$H$6)</x:f>
        <x:v>5968825008.394993</x:v>
      </x:c>
      <x:c r="E13" s="339"/>
      <x:c r="F13" s="339"/>
      <x:c r="G13" s="339"/>
      <x:c r="H13" s="28" t="str">
        <x:v>Projected closing real account balance</x:v>
      </x:c>
      <x:c r="I13" s="345" t="n">
        <x:f>'Learning Capital &amp; ROI'!$C$29</x:f>
        <x:v>9559.88837804382</x:v>
      </x:c>
      <x:c r="J13" s="28" t="str">
        <x:v>Expressed in 2026 purchasing power.</x:v>
      </x:c>
      <x:c r="K13" s="339"/>
      <x:c r="L13" s="339"/>
      <x:c r="M13" s="339"/>
      <x:c r="N13" s="339"/>
      <x:c r="O13" s="339"/>
      <x:c r="P13" s="339"/>
      <x:c r="Q13" s="339"/>
      <x:c r="R13" s="339"/>
      <x:c r="S13" s="339"/>
      <x:c r="T13" s="339"/>
      <x:c r="U13" s="1194"/>
      <x:c r="V13" s="1194"/>
      <x:c r="W13" s="1194"/>
      <x:c r="X13" s="1194"/>
      <x:c r="Y13" s="339"/>
      <x:c r="Z13" s="339"/>
    </x:row>
    <x:row r="14">
      <x:c r="A14" s="339"/>
      <x:c r="B14" s="339"/>
      <x:c r="C14" s="339"/>
      <x:c r="D14" s="339"/>
      <x:c r="E14" s="339"/>
      <x:c r="F14" s="339"/>
      <x:c r="G14" s="339"/>
      <x:c r="H14" s="28" t="str">
        <x:v>Potential student-loan principal displaced</x:v>
      </x:c>
      <x:c r="I14" s="345" t="n">
        <x:f>'Learning Capital &amp; ROI'!$C$31</x:f>
        <x:v>2748.155586639059</x:v>
      </x:c>
      <x:c r="J14" s="28" t="str">
        <x:v>Expected counterfactual borrowing replacement, not the full account balance.</x:v>
      </x:c>
      <x:c r="K14" s="339"/>
      <x:c r="L14" s="339"/>
      <x:c r="M14" s="339"/>
      <x:c r="N14" s="339"/>
      <x:c r="O14" s="339"/>
      <x:c r="P14" s="339"/>
      <x:c r="Q14" s="339"/>
      <x:c r="R14" s="339"/>
      <x:c r="S14" s="339"/>
      <x:c r="T14" s="339"/>
      <x:c r="U14" s="1194"/>
      <x:c r="V14" s="1194"/>
      <x:c r="W14" s="1194"/>
      <x:c r="X14" s="1194"/>
      <x:c r="Y14" s="339"/>
      <x:c r="Z14" s="339"/>
    </x:row>
    <x:row r="15">
      <x:c r="A15" s="339"/>
      <x:c r="B15" s="339"/>
      <x:c r="C15" s="339"/>
      <x:c r="D15" s="339"/>
      <x:c r="E15" s="339"/>
      <x:c r="F15" s="339"/>
      <x:c r="G15" s="339"/>
      <x:c r="H15" s="28" t="str">
        <x:v>Debt displacement vs audited median balance</x:v>
      </x:c>
      <x:c r="I15" s="347" t="n">
        <x:f>'Learning Capital &amp; ROI'!$C$34</x:f>
        <x:v>0.15652762924412253</x:v>
      </x:c>
      <x:c r="J15" s="28" t="str">
        <x:v>Illustrative percentage of the $17,557 audited median balance.</x:v>
      </x:c>
      <x:c r="K15" s="339"/>
      <x:c r="L15" s="339"/>
      <x:c r="M15" s="339"/>
      <x:c r="N15" s="339"/>
      <x:c r="O15" s="339"/>
      <x:c r="P15" s="339"/>
      <x:c r="Q15" s="339"/>
      <x:c r="R15" s="339"/>
      <x:c r="S15" s="339"/>
      <x:c r="T15" s="339"/>
      <x:c r="U15" s="1194"/>
      <x:c r="V15" s="1194"/>
      <x:c r="W15" s="1194"/>
      <x:c r="X15" s="1194"/>
      <x:c r="Y15" s="339"/>
      <x:c r="Z15" s="339"/>
    </x:row>
    <x:row r="16" ht="21" customHeight="1">
      <x:c r="A16" s="342"/>
      <x:c r="B16" s="342"/>
      <x:c r="C16" s="342"/>
      <x:c r="D16" s="342"/>
      <x:c r="E16" s="342"/>
      <x:c r="F16" s="342"/>
      <x:c r="G16" s="339"/>
      <x:c r="H16" s="342"/>
      <x:c r="I16" s="342"/>
      <x:c r="J16" s="342"/>
      <x:c r="K16" s="342"/>
      <x:c r="L16" s="342"/>
      <x:c r="M16" s="339"/>
      <x:c r="N16" s="339"/>
      <x:c r="O16" s="339"/>
      <x:c r="P16" s="339"/>
      <x:c r="Q16" s="339"/>
      <x:c r="R16" s="339"/>
      <x:c r="S16" s="339"/>
      <x:c r="T16" s="339"/>
      <x:c r="U16" s="1194"/>
      <x:c r="V16" s="1194"/>
      <x:c r="W16" s="1194"/>
      <x:c r="X16" s="1194"/>
      <x:c r="Y16" s="339"/>
      <x:c r="Z16" s="339"/>
    </x:row>
    <x:row r="17" ht="28" customHeight="1">
      <x:c r="A17" s="343"/>
      <x:c r="B17" s="343"/>
      <x:c r="C17" s="343"/>
      <x:c r="D17" s="339"/>
      <x:c r="E17" s="339"/>
      <x:c r="F17" s="339"/>
      <x:c r="G17" s="339"/>
      <x:c r="H17" s="322"/>
      <x:c r="I17" s="322"/>
      <x:c r="J17" s="322"/>
      <x:c r="K17" s="322"/>
      <x:c r="L17" s="322"/>
      <x:c r="M17" s="339"/>
      <x:c r="N17" s="339"/>
      <x:c r="O17" s="339"/>
      <x:c r="P17" s="339"/>
      <x:c r="Q17" s="339"/>
      <x:c r="R17" s="339"/>
      <x:c r="S17" s="339"/>
      <x:c r="T17" s="339"/>
      <x:c r="U17" s="1194"/>
      <x:c r="V17" s="1194"/>
      <x:c r="W17" s="1194"/>
      <x:c r="X17" s="1194"/>
      <x:c r="Y17" s="339"/>
      <x:c r="Z17" s="339"/>
    </x:row>
    <x:row r="18" ht="23" customHeight="1">
      <x:c r="A18" s="801" t="str">
        <x:v>Crown student-loan outcome — annual national cohort</x:v>
      </x:c>
      <x:c r="B18" s="806" t="str">
        <x:v>Crown student-loan outcome — annual national cohort</x:v>
      </x:c>
      <x:c r="C18" s="801" t="str">
        <x:v>Crown student-loan outcome — annual national cohort</x:v>
      </x:c>
      <x:c r="D18" s="801" t="str">
        <x:v>Crown student-loan outcome — annual national cohort</x:v>
      </x:c>
      <x:c r="E18" s="801" t="str">
        <x:v>Crown student-loan outcome — annual national cohort</x:v>
      </x:c>
      <x:c r="F18" s="801" t="str">
        <x:v>Crown student-loan outcome — annual national cohort</x:v>
      </x:c>
      <x:c r="G18" s="339"/>
      <x:c r="H18" s="801" t="str">
        <x:v>Social return and justice sensitivity</x:v>
      </x:c>
      <x:c r="I18" s="801" t="str">
        <x:v>Social return and justice sensitivity</x:v>
      </x:c>
      <x:c r="J18" s="801" t="str">
        <x:v>Social return and justice sensitivity</x:v>
      </x:c>
      <x:c r="K18" s="801" t="str">
        <x:v>Social return and justice sensitivity</x:v>
      </x:c>
      <x:c r="L18" s="801" t="str">
        <x:v>Social return and justice sensitivity</x:v>
      </x:c>
      <x:c r="M18" s="339"/>
      <x:c r="N18" s="339"/>
      <x:c r="O18" s="339"/>
      <x:c r="P18" s="339"/>
      <x:c r="Q18" s="339"/>
      <x:c r="R18" s="339"/>
      <x:c r="S18" s="339"/>
      <x:c r="T18" s="339"/>
      <x:c r="U18" s="1194"/>
      <x:c r="V18" s="1194"/>
      <x:c r="W18" s="1194"/>
      <x:c r="X18" s="1194"/>
      <x:c r="Y18" s="339"/>
      <x:c r="Z18" s="339"/>
    </x:row>
    <x:row r="19" ht="28" customHeight="1">
      <x:c r="A19" s="803" t="str">
        <x:v>Metric</x:v>
      </x:c>
      <x:c r="B19" s="807" t="str">
        <x:v>Central result</x:v>
      </x:c>
      <x:c r="C19" s="803" t="str">
        <x:v>Treatment</x:v>
      </x:c>
      <x:c r="D19" s="339"/>
      <x:c r="E19" s="339"/>
      <x:c r="F19" s="339"/>
      <x:c r="G19" s="339"/>
      <x:c r="H19" s="803" t="str">
        <x:v>Measure</x:v>
      </x:c>
      <x:c r="I19" s="803" t="str">
        <x:v>Central result</x:v>
      </x:c>
      <x:c r="J19" s="803" t="str">
        <x:v>Interpretation</x:v>
      </x:c>
      <x:c r="K19" s="322"/>
      <x:c r="L19" s="322"/>
      <x:c r="M19" s="339"/>
      <x:c r="N19" s="339"/>
      <x:c r="O19" s="339"/>
      <x:c r="P19" s="339"/>
      <x:c r="Q19" s="339"/>
      <x:c r="R19" s="339"/>
      <x:c r="S19" s="339"/>
      <x:c r="T19" s="339"/>
      <x:c r="U19" s="1194"/>
      <x:c r="V19" s="1194"/>
      <x:c r="W19" s="1194"/>
      <x:c r="X19" s="1194"/>
      <x:c r="Y19" s="339"/>
      <x:c r="Z19" s="339"/>
    </x:row>
    <x:row r="20">
      <x:c r="A20" s="28" t="str">
        <x:v>Gross student-loan principal displaced</x:v>
      </x:c>
      <x:c r="B20" s="345" t="n">
        <x:f>'Cohort Bridge'!$D$27</x:f>
        <x:v>170706529.06716847</x:v>
      </x:c>
      <x:c r="C20" s="28" t="str">
        <x:v>Cash lending avoided; not a net saving.</x:v>
      </x:c>
      <x:c r="D20" s="339"/>
      <x:c r="E20" s="339"/>
      <x:c r="F20" s="339"/>
      <x:c r="G20" s="339"/>
      <x:c r="H20" s="322" t="str">
        <x:v>Evidence-based short-term social BCR</x:v>
      </x:c>
      <x:c r="I20" s="661" t="n">
        <x:f>'Benefits &amp; BCR'!$C$65</x:f>
        <x:v>0.025991563264118223</x:v>
      </x:c>
      <x:c r="J20" s="322" t="str">
        <x:v>Uses the New Zealand Pacheco–Dye short-term estimate.</x:v>
      </x:c>
      <x:c r="K20" s="322"/>
      <x:c r="L20" s="322"/>
      <x:c r="M20" s="339"/>
      <x:c r="N20" s="339"/>
      <x:c r="O20" s="339"/>
      <x:c r="P20" s="339"/>
      <x:c r="Q20" s="339"/>
      <x:c r="R20" s="339"/>
      <x:c r="S20" s="339"/>
      <x:c r="T20" s="339"/>
      <x:c r="U20" s="1194"/>
      <x:c r="V20" s="1194"/>
      <x:c r="W20" s="1194"/>
      <x:c r="X20" s="1194"/>
      <x:c r="Y20" s="339"/>
      <x:c r="Z20" s="339"/>
    </x:row>
    <x:row r="21">
      <x:c r="A21" s="28" t="str">
        <x:v>Modelled student-loan fair-value offset using the official cost rate</x:v>
      </x:c>
      <x:c r="B21" s="345" t="n">
        <x:f>'Cohort Bridge'!$D$28</x:f>
        <x:v>58449915.55259848</x:v>
      </x:c>
      <x:c r="C21" s="28" t="str">
        <x:v>The official cost rate is applied to modelled borrowing displacement; this is not an official government forecast.</x:v>
      </x:c>
      <x:c r="D21" s="339"/>
      <x:c r="E21" s="339"/>
      <x:c r="F21" s="339"/>
      <x:c r="G21" s="339"/>
      <x:c r="H21" s="322" t="str">
        <x:v>Illustrative lifetime social BCR</x:v>
      </x:c>
      <x:c r="I21" s="661" t="n">
        <x:f>'Benefits &amp; BCR'!$C$66</x:f>
        <x:v>0.24951900733553492</x:v>
      </x:c>
      <x:c r="J21" s="322" t="str">
        <x:v>Uses the low-confidence lifetime multiplier.</x:v>
      </x:c>
      <x:c r="K21" s="322"/>
      <x:c r="L21" s="322"/>
      <x:c r="M21" s="339"/>
      <x:c r="N21" s="339"/>
      <x:c r="O21" s="339"/>
      <x:c r="P21" s="339"/>
      <x:c r="Q21" s="339"/>
      <x:c r="R21" s="339"/>
      <x:c r="S21" s="339"/>
      <x:c r="T21" s="339"/>
      <x:c r="U21" s="1194"/>
      <x:c r="V21" s="1194"/>
      <x:c r="W21" s="1194"/>
      <x:c r="X21" s="1194"/>
      <x:c r="Y21" s="339"/>
      <x:c r="Z21" s="339"/>
    </x:row>
    <x:row r="22">
      <x:c r="A22" s="28" t="str">
        <x:v>Consequential account administration and induced-study costs</x:v>
      </x:c>
      <x:c r="B22" s="345" t="n">
        <x:f>'Cohort Bridge'!$D$29</x:f>
        <x:v>52622218.400000006</x:v>
      </x:c>
      <x:c r="C22" s="28" t="str">
        <x:v>Costs deducted from the modelled gross fair-value offset.</x:v>
      </x:c>
      <x:c r="D22" s="339"/>
      <x:c r="E22" s="339"/>
      <x:c r="F22" s="339"/>
      <x:c r="G22" s="339"/>
      <x:c r="H22" s="322" t="str">
        <x:v>Expanded social-investment sensitivity</x:v>
      </x:c>
      <x:c r="I22" s="661" t="n">
        <x:f>'Benefits &amp; BCR'!$C$67</x:f>
        <x:v>0.25333759922376436</x:v>
      </x:c>
      <x:c r="J22" s="322" t="str">
        <x:v>Adds net Learning Capital fiscal offset without double counting debt principal.</x:v>
      </x:c>
      <x:c r="K22" s="322"/>
      <x:c r="L22" s="322"/>
      <x:c r="M22" s="339"/>
      <x:c r="N22" s="339"/>
      <x:c r="O22" s="339"/>
      <x:c r="P22" s="339"/>
      <x:c r="Q22" s="339"/>
      <x:c r="R22" s="339"/>
      <x:c r="S22" s="339"/>
      <x:c r="T22" s="339"/>
      <x:c r="U22" s="1194"/>
      <x:c r="V22" s="1194"/>
      <x:c r="W22" s="1194"/>
      <x:c r="X22" s="1194"/>
      <x:c r="Y22" s="339"/>
      <x:c r="Z22" s="339"/>
    </x:row>
    <x:row r="23">
      <x:c r="A23" s="808" t="str">
        <x:v>Net Learning Capital Crown offset</x:v>
      </x:c>
      <x:c r="B23" s="1375" t="n">
        <x:f>'Cohort Bridge'!$D$30</x:f>
        <x:v>5827697.152598478</x:v>
      </x:c>
      <x:c r="C23" s="808" t="str">
        <x:v>Net scenario offset after consequential costs; not netted against programme-payment cash expenditure.</x:v>
      </x:c>
      <x:c r="D23" s="339"/>
      <x:c r="E23" s="339"/>
      <x:c r="F23" s="339"/>
      <x:c r="G23" s="339"/>
      <x:c r="H23" s="322" t="str">
        <x:v>Illustrative prison resource value — 1% sensitivity</x:v>
      </x:c>
      <x:c r="I23" s="662" t="n">
        <x:f>'Benefits &amp; BCR'!$C$68</x:f>
        <x:v>2964909.73725</x:v>
      </x:c>
      <x:c r="J23" s="322" t="str">
        <x:v>Not an evidence-based forecast or cashable saving.</x:v>
      </x:c>
      <x:c r="K23" s="322"/>
      <x:c r="L23" s="322"/>
      <x:c r="M23" s="339"/>
      <x:c r="N23" s="339"/>
      <x:c r="O23" s="339"/>
      <x:c r="P23" s="339"/>
      <x:c r="Q23" s="339"/>
      <x:c r="R23" s="339"/>
      <x:c r="S23" s="339"/>
      <x:c r="T23" s="339"/>
      <x:c r="U23" s="1194"/>
      <x:c r="V23" s="1194"/>
      <x:c r="W23" s="1194"/>
      <x:c r="X23" s="1194"/>
      <x:c r="Y23" s="339"/>
      <x:c r="Z23" s="339"/>
    </x:row>
    <x:row r="24">
      <x:c r="A24" s="808" t="str">
        <x:v>Potential annual cost-of-ownership reduction</x:v>
      </x:c>
      <x:c r="B24" s="1375" t="n">
        <x:f>'Stage 2 - National'!$I$53</x:f>
        <x:v>6388705.753520326</x:v>
      </x:c>
      <x:c r="C24" s="808" t="str">
        <x:v>Alternative non-additive carrying-cost view.</x:v>
      </x:c>
      <x:c r="D24" s="339"/>
      <x:c r="E24" s="339"/>
      <x:c r="F24" s="339"/>
      <x:c r="G24" s="339"/>
      <x:c r="H24" s="322" t="str">
        <x:v>Expanded sensitivity incl. 1% justice</x:v>
      </x:c>
      <x:c r="I24" s="661" t="n">
        <x:f>'Benefits &amp; BCR'!$C$69</x:f>
        <x:v>0.2552803529351419</x:v>
      </x:c>
      <x:c r="J24" s="322" t="str">
        <x:v>Justice remains outside the headline case.</x:v>
      </x:c>
      <x:c r="K24" s="322"/>
      <x:c r="L24" s="322"/>
      <x:c r="M24" s="339"/>
      <x:c r="N24" s="339"/>
      <x:c r="O24" s="339"/>
      <x:c r="P24" s="339"/>
      <x:c r="Q24" s="339"/>
      <x:c r="R24" s="339"/>
      <x:c r="S24" s="339"/>
      <x:c r="T24" s="339"/>
      <x:c r="U24" s="1194"/>
      <x:c r="V24" s="1194"/>
      <x:c r="W24" s="1194"/>
      <x:c r="X24" s="1194"/>
      <x:c r="Y24" s="339"/>
      <x:c r="Z24" s="339"/>
    </x:row>
    <x:row r="25">
      <x:c r="A25" s="28" t="str">
        <x:v>Inflation erosion avoided</x:v>
      </x:c>
      <x:c r="B25" s="345" t="n">
        <x:f>'Stage 2 - National'!$J$53</x:f>
        <x:v>14604798.627564864</x:v>
      </x:c>
      <x:c r="C25" s="28" t="str">
        <x:v>Alternative non-additive purchasing-power view.</x:v>
      </x:c>
      <x:c r="D25" s="339"/>
      <x:c r="E25" s="339"/>
      <x:c r="F25" s="339"/>
      <x:c r="G25" s="339"/>
      <x:c r="H25" s="339"/>
      <x:c r="I25" s="339"/>
      <x:c r="J25" s="339"/>
      <x:c r="K25" s="339"/>
      <x:c r="L25" s="339"/>
      <x:c r="M25" s="339"/>
      <x:c r="N25" s="339"/>
      <x:c r="O25" s="339"/>
      <x:c r="P25" s="339"/>
      <x:c r="Q25" s="339"/>
      <x:c r="R25" s="339"/>
      <x:c r="S25" s="339"/>
      <x:c r="T25" s="339"/>
      <x:c r="U25" s="1194"/>
      <x:c r="V25" s="1194"/>
      <x:c r="W25" s="1194"/>
      <x:c r="X25" s="1194"/>
      <x:c r="Y25" s="339"/>
      <x:c r="Z25" s="339"/>
    </x:row>
    <x:row r="26">
      <x:c r="A26" s="339" t="str">
        <x:v>Net Crown offset as % of mature annual programme cost</x:v>
      </x:c>
      <x:c r="B26" s="1376" t="n">
        <x:f>B23/'Stage 2 - National'!$K$48</x:f>
        <x:v>0.003818591888229415</x:v>
      </x:c>
      <x:c r="C26" s="339" t="str">
        <x:v>Affordability effect.</x:v>
      </x:c>
      <x:c r="D26" s="339"/>
      <x:c r="E26" s="339"/>
      <x:c r="F26" s="339"/>
      <x:c r="G26" s="339"/>
      <x:c r="H26" s="339"/>
      <x:c r="I26" s="339"/>
      <x:c r="J26" s="339"/>
      <x:c r="K26" s="339"/>
      <x:c r="L26" s="339"/>
      <x:c r="M26" s="339"/>
      <x:c r="N26" s="339"/>
      <x:c r="O26" s="339"/>
      <x:c r="P26" s="339"/>
      <x:c r="Q26" s="339"/>
      <x:c r="R26" s="339"/>
      <x:c r="S26" s="339"/>
      <x:c r="T26" s="339"/>
      <x:c r="U26" s="1194"/>
      <x:c r="V26" s="1194"/>
      <x:c r="W26" s="1194"/>
      <x:c r="X26" s="1194"/>
      <x:c r="Y26" s="339"/>
      <x:c r="Z26" s="339"/>
    </x:row>
    <x:row r="27" ht="21" customHeight="1">
      <x:c r="A27" s="342"/>
      <x:c r="B27" s="342"/>
      <x:c r="C27" s="342"/>
      <x:c r="D27" s="342"/>
      <x:c r="E27" s="342"/>
      <x:c r="F27" s="342"/>
      <x:c r="G27" s="342"/>
      <x:c r="H27" s="342"/>
      <x:c r="I27" s="342"/>
      <x:c r="J27" s="342"/>
      <x:c r="K27" s="342"/>
      <x:c r="L27" s="342"/>
      <x:c r="M27" s="339"/>
      <x:c r="N27" s="339"/>
      <x:c r="O27" s="339"/>
      <x:c r="P27" s="339"/>
      <x:c r="Q27" s="339"/>
      <x:c r="R27" s="339"/>
      <x:c r="S27" s="339"/>
      <x:c r="T27" s="339"/>
      <x:c r="U27" s="1194"/>
      <x:c r="V27" s="1194"/>
      <x:c r="W27" s="1194"/>
      <x:c r="X27" s="1194"/>
      <x:c r="Y27" s="339"/>
      <x:c r="Z27" s="339"/>
    </x:row>
    <x:row r="28" ht="23" customHeight="1">
      <x:c r="A28" s="801" t="str">
        <x:v>Central conclusion</x:v>
      </x:c>
      <x:c r="B28" s="801" t="str">
        <x:v>Central conclusion</x:v>
      </x:c>
      <x:c r="C28" s="801" t="str">
        <x:v>Central conclusion</x:v>
      </x:c>
      <x:c r="D28" s="801" t="str">
        <x:v>Central conclusion</x:v>
      </x:c>
      <x:c r="E28" s="801" t="str">
        <x:v>Central conclusion</x:v>
      </x:c>
      <x:c r="F28" s="801" t="str">
        <x:v>Central conclusion</x:v>
      </x:c>
      <x:c r="G28" s="801" t="str">
        <x:v>Central conclusion</x:v>
      </x:c>
      <x:c r="H28" s="801" t="str">
        <x:v>Central conclusion</x:v>
      </x:c>
      <x:c r="I28" s="801" t="str">
        <x:v>Central conclusion</x:v>
      </x:c>
      <x:c r="J28" s="801" t="str">
        <x:v>Central conclusion</x:v>
      </x:c>
      <x:c r="K28" s="801" t="str">
        <x:v>Central conclusion</x:v>
      </x:c>
      <x:c r="L28" s="801" t="str">
        <x:v>Central conclusion</x:v>
      </x:c>
      <x:c r="M28" s="339"/>
      <x:c r="N28" s="339"/>
      <x:c r="O28" s="339"/>
      <x:c r="P28" s="339"/>
      <x:c r="Q28" s="339"/>
      <x:c r="R28" s="339"/>
      <x:c r="S28" s="339"/>
      <x:c r="T28" s="339"/>
      <x:c r="U28" s="1194"/>
      <x:c r="V28" s="1194"/>
      <x:c r="W28" s="1194"/>
      <x:c r="X28" s="1194"/>
      <x:c r="Y28" s="339"/>
      <x:c r="Z28" s="339"/>
    </x:row>
    <x:row r="29" ht="30" customHeight="1">
      <x:c r="A29" s="1224" t="str">
        <x:v>The financial case tests three distinct outcome families: whole-cohort capability and earnings gains; high-risk outcomes among young people not in employment, education or training (NEET), including sustained-NEET outcomes; and Learning Capital / student-loan offsets. The whole-cohort pathway is plausible but unproven. Public social and Crown present-value results lead with the 2% Treasury-aligned non-commercial social rate, while 4% remains an intermediate analytical sensitivity and 8% remains the high sensitivity. The affected-population earnings uplift is not assumed to apply uniformly across the cohort. The universal-core plus targeted-accelerator structure is a leading testable scenario, not a proven design. Stage 0 and the bounded pilot must establish causal effects, distribution, actual delivery costs, genuine loan displacement and labour-market safety before any national commitment.</x:v>
      </x:c>
      <x:c r="B29" s="1224"/>
      <x:c r="C29" s="1224"/>
      <x:c r="D29" s="1224"/>
      <x:c r="E29" s="1224"/>
      <x:c r="F29" s="1224"/>
      <x:c r="G29" s="1224"/>
      <x:c r="H29" s="1224"/>
      <x:c r="I29" s="1224"/>
      <x:c r="J29" s="1224"/>
      <x:c r="K29" s="1224"/>
      <x:c r="L29" s="1224"/>
      <x:c r="M29" s="339"/>
      <x:c r="N29" s="339"/>
      <x:c r="O29" s="339"/>
      <x:c r="P29" s="339"/>
      <x:c r="Q29" s="339"/>
      <x:c r="R29" s="339"/>
      <x:c r="S29" s="339"/>
      <x:c r="T29" s="339"/>
      <x:c r="U29" s="1194"/>
      <x:c r="V29" s="1194"/>
      <x:c r="W29" s="1194"/>
      <x:c r="X29" s="1194"/>
      <x:c r="Y29" s="339"/>
      <x:c r="Z29" s="339"/>
    </x:row>
    <x:row r="30" ht="30" customHeight="1">
      <x:c r="A30" s="1000"/>
      <x:c r="B30" s="1000"/>
      <x:c r="C30" s="1000"/>
      <x:c r="D30" s="1000"/>
      <x:c r="E30" s="1000"/>
      <x:c r="F30" s="1000"/>
      <x:c r="G30" s="1000"/>
      <x:c r="H30" s="1000"/>
      <x:c r="I30" s="1000"/>
      <x:c r="J30" s="1000"/>
      <x:c r="K30" s="1000"/>
      <x:c r="L30" s="1000"/>
      <x:c r="M30" s="339"/>
      <x:c r="N30" s="339"/>
      <x:c r="O30" s="339"/>
      <x:c r="P30" s="339"/>
      <x:c r="Q30" s="339"/>
      <x:c r="R30" s="339"/>
      <x:c r="S30" s="339"/>
      <x:c r="T30" s="339"/>
      <x:c r="U30" s="1194"/>
      <x:c r="V30" s="1194"/>
      <x:c r="W30" s="1194"/>
      <x:c r="X30" s="1194"/>
      <x:c r="Y30" s="339"/>
      <x:c r="Z30" s="339"/>
    </x:row>
    <x:row r="31" ht="30" customHeight="1">
      <x:c r="A31" s="1000"/>
      <x:c r="B31" s="1000"/>
      <x:c r="C31" s="1000"/>
      <x:c r="D31" s="1000"/>
      <x:c r="E31" s="1000"/>
      <x:c r="F31" s="1000"/>
      <x:c r="G31" s="1000"/>
      <x:c r="H31" s="1000"/>
      <x:c r="I31" s="1000"/>
      <x:c r="J31" s="1000"/>
      <x:c r="K31" s="1000"/>
      <x:c r="L31" s="1000"/>
      <x:c r="M31" s="339"/>
      <x:c r="N31" s="339"/>
      <x:c r="O31" s="339"/>
      <x:c r="P31" s="339"/>
      <x:c r="Q31" s="339"/>
      <x:c r="R31" s="339"/>
      <x:c r="S31" s="339"/>
      <x:c r="T31" s="339"/>
      <x:c r="U31" s="1194"/>
      <x:c r="V31" s="1194"/>
      <x:c r="W31" s="1194"/>
      <x:c r="X31" s="1194"/>
      <x:c r="Y31" s="339"/>
      <x:c r="Z31" s="339"/>
    </x:row>
    <x:row r="32" ht="34" customHeight="1">
      <x:c r="A32" s="1000"/>
      <x:c r="B32" s="1000"/>
      <x:c r="C32" s="1000"/>
      <x:c r="D32" s="1000"/>
      <x:c r="E32" s="1000"/>
      <x:c r="F32" s="1000"/>
      <x:c r="G32" s="1000"/>
      <x:c r="H32" s="1000"/>
      <x:c r="I32" s="1000"/>
      <x:c r="J32" s="1000"/>
      <x:c r="K32" s="1000"/>
      <x:c r="L32" s="1000"/>
      <x:c r="M32" s="339"/>
      <x:c r="N32" s="339"/>
      <x:c r="O32" s="339"/>
      <x:c r="P32" s="339"/>
      <x:c r="Q32" s="339"/>
      <x:c r="R32" s="339"/>
      <x:c r="S32" s="339"/>
      <x:c r="T32" s="339"/>
      <x:c r="U32" s="1194"/>
      <x:c r="V32" s="1194"/>
      <x:c r="W32" s="1194"/>
      <x:c r="X32" s="1194"/>
      <x:c r="Y32" s="339"/>
      <x:c r="Z32" s="339"/>
    </x:row>
    <x:row r="33">
      <x:c r="A33" s="1000"/>
      <x:c r="B33" s="1000"/>
      <x:c r="C33" s="1000"/>
      <x:c r="D33" s="1000"/>
      <x:c r="E33" s="1000"/>
      <x:c r="F33" s="1000"/>
      <x:c r="G33" s="1000"/>
      <x:c r="H33" s="1000"/>
      <x:c r="I33" s="1000"/>
      <x:c r="J33" s="1000"/>
      <x:c r="K33" s="1000"/>
      <x:c r="L33" s="1000"/>
      <x:c r="M33" s="339"/>
      <x:c r="N33" s="339"/>
      <x:c r="O33" s="339"/>
      <x:c r="P33" s="339"/>
      <x:c r="Q33" s="339"/>
      <x:c r="R33" s="339"/>
      <x:c r="S33" s="339"/>
      <x:c r="T33" s="339"/>
      <x:c r="U33" s="1194"/>
      <x:c r="V33" s="1194"/>
      <x:c r="W33" s="1194"/>
      <x:c r="X33" s="1194"/>
      <x:c r="Y33" s="339"/>
      <x:c r="Z33" s="339"/>
    </x:row>
    <x:row r="34">
      <x:c r="A34" s="1000"/>
      <x:c r="B34" s="1000"/>
      <x:c r="C34" s="1000"/>
      <x:c r="D34" s="1000"/>
      <x:c r="E34" s="1000"/>
      <x:c r="F34" s="1000"/>
      <x:c r="G34" s="1000"/>
      <x:c r="H34" s="1000"/>
      <x:c r="I34" s="1000"/>
      <x:c r="J34" s="1000"/>
      <x:c r="K34" s="1000"/>
      <x:c r="L34" s="1000"/>
      <x:c r="M34" s="339"/>
      <x:c r="N34" s="339"/>
      <x:c r="O34" s="339"/>
      <x:c r="P34" s="339"/>
      <x:c r="Q34" s="339"/>
      <x:c r="R34" s="339"/>
      <x:c r="S34" s="339"/>
      <x:c r="T34" s="339"/>
      <x:c r="U34" s="1194"/>
      <x:c r="V34" s="1194"/>
      <x:c r="W34" s="1194"/>
      <x:c r="X34" s="1194"/>
      <x:c r="Y34" s="339"/>
      <x:c r="Z34" s="339"/>
    </x:row>
    <x:row r="35" ht="28" customHeight="1">
      <x:c r="A35" s="672"/>
      <x:c r="B35" s="672"/>
      <x:c r="C35" s="672"/>
      <x:c r="D35" s="672"/>
      <x:c r="E35" s="672"/>
      <x:c r="F35" s="672"/>
      <x:c r="G35" s="666"/>
      <x:c r="H35" s="666"/>
      <x:c r="I35" s="666"/>
      <x:c r="J35" s="666"/>
      <x:c r="K35" s="666"/>
      <x:c r="L35" s="666"/>
      <x:c r="M35" s="339"/>
      <x:c r="N35" s="339"/>
      <x:c r="O35" s="339"/>
      <x:c r="P35" s="339"/>
      <x:c r="Q35" s="339"/>
      <x:c r="R35" s="339"/>
      <x:c r="S35" s="339"/>
      <x:c r="T35" s="339"/>
      <x:c r="U35" s="1194"/>
      <x:c r="V35" s="1194"/>
      <x:c r="W35" s="1194"/>
      <x:c r="X35" s="1194"/>
      <x:c r="Y35" s="339"/>
      <x:c r="Z35" s="339"/>
    </x:row>
    <x:row r="36">
      <x:c r="A36" s="339"/>
      <x:c r="B36" s="352"/>
      <x:c r="C36" s="352"/>
      <x:c r="D36" s="352"/>
      <x:c r="E36" s="352"/>
      <x:c r="F36" s="352"/>
      <x:c r="G36" s="339"/>
      <x:c r="H36" s="339"/>
      <x:c r="I36" s="339"/>
      <x:c r="J36" s="339"/>
      <x:c r="K36" s="339"/>
      <x:c r="L36" s="339"/>
      <x:c r="M36" s="339"/>
      <x:c r="N36" s="339"/>
      <x:c r="O36" s="339"/>
      <x:c r="P36" s="339"/>
      <x:c r="Q36" s="339"/>
      <x:c r="R36" s="339"/>
      <x:c r="S36" s="339"/>
      <x:c r="T36" s="339"/>
      <x:c r="U36" s="1194"/>
      <x:c r="V36" s="1194"/>
      <x:c r="W36" s="1194"/>
      <x:c r="X36" s="1194"/>
      <x:c r="Y36" s="339"/>
      <x:c r="Z36" s="339"/>
    </x:row>
    <x:row r="37" ht="23" customHeight="1">
      <x:c r="A37" s="1210" t="str">
        <x:v>Three interpretation controls</x:v>
      </x:c>
      <x:c r="B37" s="1227"/>
      <x:c r="C37" s="1210"/>
      <x:c r="D37" s="1210"/>
      <x:c r="E37" s="1210"/>
      <x:c r="F37" s="1210"/>
      <x:c r="G37" s="1210"/>
      <x:c r="H37" s="1210"/>
      <x:c r="I37" s="1210"/>
      <x:c r="J37" s="1210"/>
      <x:c r="K37" s="1210"/>
      <x:c r="L37" s="1210"/>
      <x:c r="M37" s="339"/>
      <x:c r="N37" s="339"/>
      <x:c r="O37" s="339"/>
      <x:c r="P37" s="339"/>
      <x:c r="Q37" s="339"/>
      <x:c r="R37" s="339"/>
      <x:c r="S37" s="339"/>
      <x:c r="T37" s="339"/>
      <x:c r="U37" s="1194"/>
      <x:c r="V37" s="1194"/>
      <x:c r="W37" s="1194"/>
      <x:c r="X37" s="1194"/>
      <x:c r="Y37" s="339"/>
      <x:c r="Z37" s="339"/>
    </x:row>
    <x:row r="38" ht="25" customHeight="1">
      <x:c r="A38" s="1228" t="str">
        <x:v>Social BCR measures included national value per dollar of included cost; it is not Crown cash return.</x:v>
      </x:c>
      <x:c r="B38" s="1229"/>
      <x:c r="C38" s="1230"/>
      <x:c r="D38" s="1230"/>
      <x:c r="E38" s="1230"/>
      <x:c r="F38" s="1230"/>
      <x:c r="G38" s="1230"/>
      <x:c r="H38" s="1230"/>
      <x:c r="I38" s="1230"/>
      <x:c r="J38" s="1230"/>
      <x:c r="K38" s="1230"/>
      <x:c r="L38" s="1230"/>
      <x:c r="M38" s="339"/>
      <x:c r="N38" s="339"/>
      <x:c r="O38" s="339"/>
      <x:c r="P38" s="339"/>
      <x:c r="Q38" s="339"/>
      <x:c r="R38" s="339"/>
      <x:c r="S38" s="339"/>
      <x:c r="T38" s="339"/>
      <x:c r="U38" s="1194"/>
      <x:c r="V38" s="1194"/>
      <x:c r="W38" s="1194"/>
      <x:c r="X38" s="1194"/>
      <x:c r="Y38" s="339"/>
      <x:c r="Z38" s="339"/>
    </x:row>
    <x:row r="39" ht="25" customHeight="1">
      <x:c r="A39" s="1231" t="str">
        <x:v>The provisional transfer-adjusted BCR changes the economic denominator but does not reduce the full cash appropriation.</x:v>
      </x:c>
      <x:c r="B39" s="1232"/>
      <x:c r="C39" s="1233"/>
      <x:c r="D39" s="1233"/>
      <x:c r="E39" s="1233"/>
      <x:c r="F39" s="1233"/>
      <x:c r="G39" s="1233"/>
      <x:c r="H39" s="1233"/>
      <x:c r="I39" s="1233"/>
      <x:c r="J39" s="1233"/>
      <x:c r="K39" s="1233"/>
      <x:c r="L39" s="1233"/>
      <x:c r="M39" s="339"/>
      <x:c r="N39" s="339"/>
      <x:c r="O39" s="339"/>
      <x:c r="P39" s="339"/>
      <x:c r="Q39" s="339"/>
      <x:c r="R39" s="339"/>
      <x:c r="S39" s="339"/>
      <x:c r="T39" s="339"/>
      <x:c r="U39" s="1194"/>
      <x:c r="V39" s="1194"/>
      <x:c r="W39" s="1194"/>
      <x:c r="X39" s="1194"/>
      <x:c r="Y39" s="339"/>
      <x:c r="Z39" s="339"/>
    </x:row>
    <x:row r="40" ht="25" customHeight="1">
      <x:c r="A40" s="1234" t="str">
        <x:v>Affected-population earnings uplifts are not uniform cohort-wide effects; use the cohort-equivalent figures for broad communication.</x:v>
      </x:c>
      <x:c r="B40" s="1235"/>
      <x:c r="C40" s="1236"/>
      <x:c r="D40" s="1236"/>
      <x:c r="E40" s="1236"/>
      <x:c r="F40" s="1236"/>
      <x:c r="G40" s="1236"/>
      <x:c r="H40" s="1236"/>
      <x:c r="I40" s="1236"/>
      <x:c r="J40" s="1236"/>
      <x:c r="K40" s="1236"/>
      <x:c r="L40" s="1236"/>
      <x:c r="M40" s="339"/>
      <x:c r="N40" s="339"/>
      <x:c r="O40" s="339"/>
      <x:c r="P40" s="339"/>
      <x:c r="Q40" s="339"/>
      <x:c r="R40" s="339"/>
      <x:c r="S40" s="339"/>
      <x:c r="T40" s="339"/>
      <x:c r="U40" s="1194"/>
      <x:c r="V40" s="1194"/>
      <x:c r="W40" s="1194"/>
      <x:c r="X40" s="1194"/>
      <x:c r="Y40" s="339"/>
      <x:c r="Z40" s="339"/>
    </x:row>
    <x:row r="41" ht="25" customHeight="1">
      <x:c r="A41" s="829"/>
      <x:c r="B41" s="829"/>
      <x:c r="C41" s="484"/>
      <x:c r="D41" s="484"/>
      <x:c r="E41" s="484"/>
      <x:c r="F41" s="484"/>
      <x:c r="G41" s="484"/>
      <x:c r="H41" s="484"/>
      <x:c r="I41" s="484"/>
      <x:c r="J41" s="484"/>
      <x:c r="K41" s="484"/>
      <x:c r="L41" s="484"/>
      <x:c r="M41" s="339"/>
      <x:c r="N41" s="339"/>
      <x:c r="O41" s="339"/>
      <x:c r="P41" s="339"/>
      <x:c r="Q41" s="339"/>
      <x:c r="R41" s="339"/>
      <x:c r="S41" s="339"/>
      <x:c r="T41" s="339"/>
      <x:c r="U41" s="1194"/>
      <x:c r="V41" s="1194"/>
      <x:c r="W41" s="1194"/>
      <x:c r="X41" s="1194"/>
      <x:c r="Y41" s="339"/>
      <x:c r="Z41" s="339"/>
    </x:row>
    <x:row r="42" ht="25" customHeight="1">
      <x:c r="A42" s="829"/>
      <x:c r="B42" s="829"/>
      <x:c r="C42" s="484"/>
      <x:c r="D42" s="484"/>
      <x:c r="E42" s="484"/>
      <x:c r="F42" s="484"/>
      <x:c r="G42" s="484"/>
      <x:c r="H42" s="484"/>
      <x:c r="I42" s="484"/>
      <x:c r="J42" s="484"/>
      <x:c r="K42" s="484"/>
      <x:c r="L42" s="484"/>
      <x:c r="M42" s="339"/>
      <x:c r="N42" s="339"/>
      <x:c r="O42" s="339"/>
      <x:c r="P42" s="339"/>
      <x:c r="Q42" s="339"/>
      <x:c r="R42" s="339"/>
      <x:c r="S42" s="339"/>
      <x:c r="T42" s="339"/>
      <x:c r="U42" s="1194"/>
      <x:c r="V42" s="1194"/>
      <x:c r="W42" s="1194"/>
      <x:c r="X42" s="1194"/>
      <x:c r="Y42" s="339"/>
      <x:c r="Z42" s="339"/>
    </x:row>
    <x:row r="43" ht="25" customHeight="1">
      <x:c r="A43" s="829"/>
      <x:c r="B43" s="829"/>
      <x:c r="C43" s="484"/>
      <x:c r="D43" s="484"/>
      <x:c r="E43" s="484"/>
      <x:c r="F43" s="484"/>
      <x:c r="G43" s="484"/>
      <x:c r="H43" s="484"/>
      <x:c r="I43" s="484"/>
      <x:c r="J43" s="484"/>
      <x:c r="K43" s="484"/>
      <x:c r="L43" s="484"/>
      <x:c r="M43" s="339"/>
      <x:c r="N43" s="339"/>
      <x:c r="O43" s="339"/>
      <x:c r="P43" s="339"/>
      <x:c r="Q43" s="339"/>
      <x:c r="R43" s="339"/>
      <x:c r="S43" s="339"/>
      <x:c r="T43" s="339"/>
      <x:c r="U43" s="1194"/>
      <x:c r="V43" s="1194"/>
      <x:c r="W43" s="1194"/>
      <x:c r="X43" s="1194"/>
      <x:c r="Y43" s="339"/>
      <x:c r="Z43" s="339"/>
    </x:row>
    <x:row r="44" ht="25" customHeight="1">
      <x:c r="A44" s="829"/>
      <x:c r="B44" s="829"/>
      <x:c r="C44" s="484"/>
      <x:c r="D44" s="484"/>
      <x:c r="E44" s="484"/>
      <x:c r="F44" s="484"/>
      <x:c r="G44" s="484"/>
      <x:c r="H44" s="484"/>
      <x:c r="I44" s="484"/>
      <x:c r="J44" s="484"/>
      <x:c r="K44" s="484"/>
      <x:c r="L44" s="484"/>
      <x:c r="M44" s="339"/>
      <x:c r="N44" s="339"/>
      <x:c r="O44" s="339"/>
      <x:c r="P44" s="339"/>
      <x:c r="Q44" s="339"/>
      <x:c r="R44" s="339"/>
      <x:c r="S44" s="339"/>
      <x:c r="T44" s="339"/>
      <x:c r="U44" s="1194"/>
      <x:c r="V44" s="1194"/>
      <x:c r="W44" s="1194"/>
      <x:c r="X44" s="1194"/>
      <x:c r="Y44" s="339"/>
      <x:c r="Z44" s="339"/>
    </x:row>
    <x:row r="45" ht="26" customHeight="1">
      <x:c r="A45" s="498"/>
      <x:c r="B45" s="28"/>
      <x:c r="C45" s="28"/>
      <x:c r="D45" s="28"/>
      <x:c r="E45" s="28"/>
      <x:c r="F45" s="28"/>
      <x:c r="G45" s="28"/>
      <x:c r="H45" s="28"/>
      <x:c r="I45" s="28"/>
      <x:c r="J45" s="28"/>
      <x:c r="K45" s="28"/>
      <x:c r="L45" s="28"/>
      <x:c r="M45" s="339"/>
      <x:c r="N45" s="339"/>
      <x:c r="O45" s="339"/>
      <x:c r="P45" s="339"/>
      <x:c r="Q45" s="339"/>
      <x:c r="R45" s="339"/>
      <x:c r="S45" s="339"/>
      <x:c r="T45" s="339"/>
      <x:c r="U45" s="1194"/>
      <x:c r="V45" s="1194"/>
      <x:c r="W45" s="1194"/>
      <x:c r="X45" s="1194"/>
      <x:c r="Y45" s="339"/>
      <x:c r="Z45" s="339"/>
    </x:row>
    <x:row r="46">
      <x:c r="A46" s="339"/>
      <x:c r="B46" s="339"/>
      <x:c r="C46" s="339"/>
      <x:c r="D46" s="339"/>
      <x:c r="E46" s="339"/>
      <x:c r="F46" s="339"/>
      <x:c r="G46" s="339"/>
      <x:c r="H46" s="339"/>
      <x:c r="I46" s="339"/>
      <x:c r="J46" s="339"/>
      <x:c r="K46" s="339"/>
      <x:c r="L46" s="339"/>
      <x:c r="M46" s="339"/>
      <x:c r="N46" s="339"/>
      <x:c r="O46" s="339"/>
      <x:c r="P46" s="339"/>
      <x:c r="Q46" s="339"/>
      <x:c r="R46" s="339"/>
      <x:c r="S46" s="339"/>
      <x:c r="T46" s="339"/>
      <x:c r="U46" s="1194"/>
      <x:c r="V46" s="1194"/>
      <x:c r="W46" s="1194"/>
      <x:c r="X46" s="1194"/>
      <x:c r="Y46" s="339"/>
      <x:c r="Z46" s="339"/>
    </x:row>
    <x:row r="47" ht="28" customHeight="1">
      <x:c r="A47" s="836" t="str">
        <x:v>Annual-cost and lifetime-benefit comparison for one aligned annual cohort</x:v>
      </x:c>
      <x:c r="B47" s="836" t="str">
        <x:v>Value</x:v>
      </x:c>
      <x:c r="C47" s="339"/>
      <x:c r="D47" s="339"/>
      <x:c r="E47" s="339"/>
      <x:c r="F47" s="339"/>
      <x:c r="G47" s="339"/>
      <x:c r="H47" s="339"/>
      <x:c r="I47" s="339"/>
      <x:c r="J47" s="339"/>
      <x:c r="K47" s="339"/>
      <x:c r="L47" s="339"/>
      <x:c r="M47" s="339"/>
      <x:c r="N47" s="339"/>
      <x:c r="O47" s="339"/>
      <x:c r="P47" s="339"/>
      <x:c r="Q47" s="339"/>
      <x:c r="R47" s="339"/>
      <x:c r="S47" s="339"/>
      <x:c r="T47" s="339"/>
      <x:c r="U47" s="1194"/>
      <x:c r="V47" s="1194"/>
      <x:c r="W47" s="1194"/>
      <x:c r="X47" s="1194"/>
      <x:c r="Y47" s="339"/>
      <x:c r="Z47" s="339"/>
    </x:row>
    <x:row r="48" ht="28" customHeight="1">
      <x:c r="A48" s="683" t="str">
        <x:v>Mature annual programme cost associated with one annual entrant/exit cohort</x:v>
      </x:c>
      <x:c r="B48" s="838" t="n">
        <x:f>'Stage 2 - National'!$K$48</x:f>
        <x:v>1526137729.0833335</x:v>
      </x:c>
      <x:c r="C48" s="339"/>
      <x:c r="D48" s="339"/>
      <x:c r="E48" s="339"/>
      <x:c r="F48" s="339"/>
      <x:c r="G48" s="339"/>
      <x:c r="H48" s="339"/>
      <x:c r="I48" s="339"/>
      <x:c r="J48" s="339"/>
      <x:c r="K48" s="339"/>
      <x:c r="L48" s="339"/>
      <x:c r="M48" s="339"/>
      <x:c r="N48" s="339"/>
      <x:c r="O48" s="339"/>
      <x:c r="P48" s="339"/>
      <x:c r="Q48" s="339"/>
      <x:c r="R48" s="339"/>
      <x:c r="S48" s="339"/>
      <x:c r="T48" s="339"/>
      <x:c r="U48" s="1194"/>
      <x:c r="V48" s="1194"/>
      <x:c r="W48" s="1194"/>
      <x:c r="X48" s="1194"/>
      <x:c r="Y48" s="339"/>
      <x:c r="Z48" s="339"/>
    </x:row>
    <x:row r="49">
      <x:c r="A49" s="339" t="str">
        <x:v>Present value of illustrative lifetime sustained-NEET benefit attributable to that cohort</x:v>
      </x:c>
      <x:c r="B49" s="352" t="n">
        <x:f>'Benefits &amp; BCR'!$C$24</x:f>
        <x:v>380800371.2181809</x:v>
      </x:c>
      <x:c r="C49" s="339"/>
      <x:c r="D49" s="339"/>
      <x:c r="E49" s="339"/>
      <x:c r="F49" s="339"/>
      <x:c r="G49" s="339"/>
      <x:c r="H49" s="339"/>
      <x:c r="I49" s="339"/>
      <x:c r="J49" s="339"/>
      <x:c r="K49" s="339"/>
      <x:c r="L49" s="339"/>
      <x:c r="M49" s="339"/>
      <x:c r="N49" s="339"/>
      <x:c r="O49" s="339"/>
      <x:c r="P49" s="339"/>
      <x:c r="Q49" s="339"/>
      <x:c r="R49" s="339"/>
      <x:c r="S49" s="339"/>
      <x:c r="T49" s="339"/>
      <x:c r="U49" s="1194"/>
      <x:c r="V49" s="1194"/>
      <x:c r="W49" s="1194"/>
      <x:c r="X49" s="1194"/>
      <x:c r="Y49" s="339"/>
      <x:c r="Z49" s="339"/>
    </x:row>
    <x:row r="50">
      <x:c r="A50" s="339" t="str">
        <x:v>Present value of net Learning Capital Crown offset attributable to that cohort</x:v>
      </x:c>
      <x:c r="B50" s="352" t="n">
        <x:f>'Cohort Bridge'!$D$30</x:f>
        <x:v>5827697.152598478</x:v>
      </x:c>
      <x:c r="C50" s="339"/>
      <x:c r="D50" s="339"/>
      <x:c r="E50" s="339"/>
      <x:c r="F50" s="339"/>
      <x:c r="G50" s="339"/>
      <x:c r="H50" s="339"/>
      <x:c r="I50" s="339"/>
      <x:c r="J50" s="339"/>
      <x:c r="K50" s="339"/>
      <x:c r="L50" s="339"/>
      <x:c r="M50" s="339"/>
      <x:c r="N50" s="339"/>
      <x:c r="O50" s="339"/>
      <x:c r="P50" s="339"/>
      <x:c r="Q50" s="339"/>
      <x:c r="R50" s="339"/>
      <x:c r="S50" s="339"/>
      <x:c r="T50" s="339"/>
      <x:c r="U50" s="1194"/>
      <x:c r="V50" s="1194"/>
      <x:c r="W50" s="1194"/>
      <x:c r="X50" s="1194"/>
      <x:c r="Y50" s="339"/>
      <x:c r="Z50" s="339"/>
    </x:row>
    <x:row r="51">
      <x:c r="A51" s="339" t="str">
        <x:v>Present value of 1% justice resource sensitivity attributable to that cohort</x:v>
      </x:c>
      <x:c r="B51" s="352" t="n">
        <x:f>'Justice Sensitivity'!$G$7</x:f>
        <x:v>2964909.73725</x:v>
      </x:c>
      <x:c r="C51" s="339"/>
      <x:c r="D51" s="339"/>
      <x:c r="E51" s="339"/>
      <x:c r="F51" s="339"/>
      <x:c r="G51" s="339"/>
      <x:c r="H51" s="339"/>
      <x:c r="I51" s="339"/>
      <x:c r="J51" s="339"/>
      <x:c r="K51" s="339"/>
      <x:c r="L51" s="339"/>
      <x:c r="M51" s="339"/>
      <x:c r="N51" s="339"/>
      <x:c r="O51" s="339"/>
      <x:c r="P51" s="339"/>
      <x:c r="Q51" s="339"/>
      <x:c r="R51" s="339"/>
      <x:c r="S51" s="339"/>
      <x:c r="T51" s="339"/>
      <x:c r="U51" s="1194"/>
      <x:c r="V51" s="1194"/>
      <x:c r="W51" s="1194"/>
      <x:c r="X51" s="1194"/>
      <x:c r="Y51" s="339"/>
      <x:c r="Z51" s="339"/>
    </x:row>
    <x:row r="52">
      <x:c r="A52" s="339" t="str">
        <x:v>Unclosed gap between mature annual cost and the listed lifetime-value components</x:v>
      </x:c>
      <x:c r="B52" s="352" t="n">
        <x:f>MAX(0,B48-B49-B50-B51)</x:f>
        <x:v>1136544750.9753041</x:v>
      </x:c>
      <x:c r="C52" s="339"/>
      <x:c r="D52" s="339"/>
      <x:c r="E52" s="339"/>
      <x:c r="F52" s="339"/>
      <x:c r="G52" s="339"/>
      <x:c r="H52" s="339"/>
      <x:c r="I52" s="339"/>
      <x:c r="J52" s="339"/>
      <x:c r="K52" s="339"/>
      <x:c r="L52" s="339"/>
      <x:c r="M52" s="339"/>
      <x:c r="N52" s="339"/>
      <x:c r="O52" s="339"/>
      <x:c r="P52" s="339"/>
      <x:c r="Q52" s="339"/>
      <x:c r="R52" s="339"/>
      <x:c r="S52" s="339"/>
      <x:c r="T52" s="339"/>
      <x:c r="U52" s="1194"/>
      <x:c r="V52" s="1194"/>
      <x:c r="W52" s="1194"/>
      <x:c r="X52" s="1194"/>
      <x:c r="Y52" s="339"/>
      <x:c r="Z52" s="339"/>
    </x:row>
    <x:row r="53">
      <x:c r="A53" s="339"/>
      <x:c r="B53" s="352"/>
      <x:c r="C53" s="339"/>
      <x:c r="D53" s="339"/>
      <x:c r="E53" s="339"/>
      <x:c r="F53" s="339"/>
      <x:c r="G53" s="339"/>
      <x:c r="H53" s="339"/>
      <x:c r="I53" s="339"/>
      <x:c r="J53" s="339"/>
      <x:c r="K53" s="339"/>
      <x:c r="L53" s="339"/>
      <x:c r="M53" s="339"/>
      <x:c r="N53" s="339"/>
      <x:c r="O53" s="339"/>
      <x:c r="P53" s="339"/>
      <x:c r="Q53" s="339"/>
      <x:c r="R53" s="339"/>
      <x:c r="S53" s="339"/>
      <x:c r="T53" s="339"/>
      <x:c r="U53" s="1194"/>
      <x:c r="V53" s="1194"/>
      <x:c r="W53" s="1194"/>
      <x:c r="X53" s="1194"/>
      <x:c r="Y53" s="339"/>
      <x:c r="Z53" s="339"/>
    </x:row>
    <x:row r="54">
      <x:c r="A54" s="339"/>
      <x:c r="B54" s="339"/>
      <x:c r="C54" s="339"/>
      <x:c r="D54" s="339"/>
      <x:c r="E54" s="339"/>
      <x:c r="F54" s="339"/>
      <x:c r="G54" s="339"/>
      <x:c r="H54" s="339"/>
      <x:c r="I54" s="339"/>
      <x:c r="J54" s="339"/>
      <x:c r="K54" s="339"/>
      <x:c r="L54" s="339"/>
      <x:c r="M54" s="339"/>
      <x:c r="N54" s="339"/>
      <x:c r="O54" s="339"/>
      <x:c r="P54" s="339"/>
      <x:c r="Q54" s="339"/>
      <x:c r="R54" s="339"/>
      <x:c r="S54" s="339"/>
      <x:c r="T54" s="339"/>
      <x:c r="U54" s="1194"/>
      <x:c r="V54" s="1194"/>
      <x:c r="W54" s="1194"/>
      <x:c r="X54" s="1194"/>
      <x:c r="Y54" s="339"/>
      <x:c r="Z54" s="339"/>
    </x:row>
    <x:row r="55">
      <x:c r="A55" s="339"/>
      <x:c r="B55" s="339"/>
      <x:c r="C55" s="339"/>
      <x:c r="D55" s="339"/>
      <x:c r="E55" s="339"/>
      <x:c r="F55" s="339"/>
      <x:c r="G55" s="339"/>
      <x:c r="H55" s="339"/>
      <x:c r="I55" s="339"/>
      <x:c r="J55" s="339"/>
      <x:c r="K55" s="339"/>
      <x:c r="L55" s="339"/>
      <x:c r="M55" s="339"/>
      <x:c r="N55" s="339"/>
      <x:c r="O55" s="339"/>
      <x:c r="P55" s="339"/>
      <x:c r="Q55" s="339"/>
      <x:c r="R55" s="339"/>
      <x:c r="S55" s="339"/>
      <x:c r="T55" s="339"/>
      <x:c r="U55" s="1194"/>
      <x:c r="V55" s="1194"/>
      <x:c r="W55" s="1194"/>
      <x:c r="X55" s="1194"/>
      <x:c r="Y55" s="339"/>
      <x:c r="Z55" s="339"/>
    </x:row>
    <x:row r="56">
      <x:c r="A56" s="339"/>
      <x:c r="B56" s="339"/>
      <x:c r="C56" s="339"/>
      <x:c r="D56" s="339"/>
      <x:c r="E56" s="339"/>
      <x:c r="F56" s="339"/>
      <x:c r="G56" s="339"/>
      <x:c r="H56" s="339"/>
      <x:c r="I56" s="339"/>
      <x:c r="J56" s="339"/>
      <x:c r="K56" s="339"/>
      <x:c r="L56" s="339"/>
      <x:c r="M56" s="339"/>
      <x:c r="N56" s="339"/>
      <x:c r="O56" s="339"/>
      <x:c r="P56" s="339"/>
      <x:c r="Q56" s="339"/>
      <x:c r="R56" s="339"/>
      <x:c r="S56" s="339"/>
      <x:c r="T56" s="339"/>
      <x:c r="U56" s="1194"/>
      <x:c r="V56" s="1194"/>
      <x:c r="W56" s="1194"/>
      <x:c r="X56" s="1194"/>
      <x:c r="Y56" s="339"/>
      <x:c r="Z56" s="339"/>
    </x:row>
    <x:row r="57">
      <x:c r="A57" s="339"/>
      <x:c r="B57" s="339"/>
      <x:c r="C57" s="339"/>
      <x:c r="D57" s="339"/>
      <x:c r="E57" s="339"/>
      <x:c r="F57" s="339"/>
      <x:c r="G57" s="339"/>
      <x:c r="H57" s="339"/>
      <x:c r="I57" s="339"/>
      <x:c r="J57" s="339"/>
      <x:c r="K57" s="339"/>
      <x:c r="L57" s="339"/>
      <x:c r="M57" s="339"/>
      <x:c r="N57" s="339"/>
      <x:c r="O57" s="339"/>
      <x:c r="P57" s="339"/>
      <x:c r="Q57" s="339"/>
      <x:c r="R57" s="339"/>
      <x:c r="S57" s="339"/>
      <x:c r="T57" s="339"/>
      <x:c r="U57" s="1194"/>
      <x:c r="V57" s="1194"/>
      <x:c r="W57" s="1194"/>
      <x:c r="X57" s="1194"/>
      <x:c r="Y57" s="339"/>
      <x:c r="Z57" s="339"/>
    </x:row>
    <x:row r="58">
      <x:c r="A58" s="339"/>
      <x:c r="B58" s="339"/>
      <x:c r="C58" s="339"/>
      <x:c r="D58" s="339"/>
      <x:c r="E58" s="339"/>
      <x:c r="F58" s="339"/>
      <x:c r="G58" s="339"/>
      <x:c r="H58" s="339"/>
      <x:c r="I58" s="339"/>
      <x:c r="J58" s="339"/>
      <x:c r="K58" s="339"/>
      <x:c r="L58" s="339"/>
      <x:c r="M58" s="339"/>
      <x:c r="N58" s="339"/>
      <x:c r="O58" s="339"/>
      <x:c r="P58" s="339"/>
      <x:c r="Q58" s="339"/>
      <x:c r="R58" s="339"/>
      <x:c r="S58" s="339"/>
      <x:c r="T58" s="339"/>
      <x:c r="U58" s="1194"/>
      <x:c r="V58" s="1194"/>
      <x:c r="W58" s="1194"/>
      <x:c r="X58" s="1194"/>
      <x:c r="Y58" s="339"/>
      <x:c r="Z58" s="339"/>
    </x:row>
    <x:row r="59">
      <x:c r="A59" s="339"/>
      <x:c r="B59" s="339"/>
      <x:c r="C59" s="339"/>
      <x:c r="D59" s="339"/>
      <x:c r="E59" s="339"/>
      <x:c r="F59" s="339"/>
      <x:c r="G59" s="339"/>
      <x:c r="H59" s="339"/>
      <x:c r="I59" s="339"/>
      <x:c r="J59" s="339"/>
      <x:c r="K59" s="339"/>
      <x:c r="L59" s="339"/>
      <x:c r="M59" s="339"/>
      <x:c r="N59" s="339"/>
      <x:c r="O59" s="339"/>
      <x:c r="P59" s="339"/>
      <x:c r="Q59" s="339"/>
      <x:c r="R59" s="339"/>
      <x:c r="S59" s="339"/>
      <x:c r="T59" s="339"/>
      <x:c r="U59" s="1194"/>
      <x:c r="V59" s="1194"/>
      <x:c r="W59" s="1194"/>
      <x:c r="X59" s="1194"/>
      <x:c r="Y59" s="339"/>
      <x:c r="Z59" s="339"/>
    </x:row>
    <x:row r="60">
      <x:c r="A60" s="339"/>
      <x:c r="B60" s="339"/>
      <x:c r="C60" s="339"/>
      <x:c r="D60" s="339"/>
      <x:c r="E60" s="339"/>
      <x:c r="F60" s="339"/>
      <x:c r="G60" s="339"/>
      <x:c r="H60" s="339"/>
      <x:c r="I60" s="339"/>
      <x:c r="J60" s="339"/>
      <x:c r="K60" s="339"/>
      <x:c r="L60" s="339"/>
      <x:c r="M60" s="339"/>
      <x:c r="N60" s="339"/>
      <x:c r="O60" s="339"/>
      <x:c r="P60" s="339"/>
      <x:c r="Q60" s="339"/>
      <x:c r="R60" s="339"/>
      <x:c r="S60" s="339"/>
      <x:c r="T60" s="339"/>
      <x:c r="U60" s="1194"/>
      <x:c r="V60" s="1194"/>
      <x:c r="W60" s="1194"/>
      <x:c r="X60" s="1194"/>
      <x:c r="Y60" s="339"/>
      <x:c r="Z60" s="339"/>
    </x:row>
    <x:row r="61">
      <x:c r="A61" s="339"/>
      <x:c r="B61" s="339"/>
      <x:c r="C61" s="339"/>
      <x:c r="D61" s="339"/>
      <x:c r="E61" s="339"/>
      <x:c r="F61" s="339"/>
      <x:c r="G61" s="339"/>
      <x:c r="H61" s="339"/>
      <x:c r="I61" s="339"/>
      <x:c r="J61" s="339"/>
      <x:c r="K61" s="339"/>
      <x:c r="L61" s="339"/>
      <x:c r="M61" s="339"/>
      <x:c r="N61" s="339"/>
      <x:c r="O61" s="339"/>
      <x:c r="P61" s="339"/>
      <x:c r="Q61" s="339"/>
      <x:c r="R61" s="339"/>
      <x:c r="S61" s="339"/>
      <x:c r="T61" s="339"/>
      <x:c r="U61" s="1194"/>
      <x:c r="V61" s="1194"/>
      <x:c r="W61" s="1194"/>
      <x:c r="X61" s="1194"/>
      <x:c r="Y61" s="339"/>
      <x:c r="Z61" s="339"/>
    </x:row>
    <x:row r="62">
      <x:c r="A62" s="339"/>
      <x:c r="B62" s="339"/>
      <x:c r="C62" s="339"/>
      <x:c r="D62" s="339"/>
      <x:c r="E62" s="339"/>
      <x:c r="F62" s="339"/>
      <x:c r="G62" s="339"/>
      <x:c r="H62" s="339"/>
      <x:c r="I62" s="339"/>
      <x:c r="J62" s="339"/>
      <x:c r="K62" s="339"/>
      <x:c r="L62" s="339"/>
      <x:c r="M62" s="339"/>
      <x:c r="N62" s="339"/>
      <x:c r="O62" s="339"/>
      <x:c r="P62" s="339"/>
      <x:c r="Q62" s="339"/>
      <x:c r="R62" s="339"/>
      <x:c r="S62" s="339"/>
      <x:c r="T62" s="339"/>
      <x:c r="U62" s="1194"/>
      <x:c r="V62" s="1194"/>
      <x:c r="W62" s="1194"/>
      <x:c r="X62" s="1194"/>
      <x:c r="Y62" s="339"/>
      <x:c r="Z62" s="339"/>
    </x:row>
    <x:row r="63">
      <x:c r="A63" s="339"/>
      <x:c r="B63" s="339"/>
      <x:c r="C63" s="339"/>
      <x:c r="D63" s="339"/>
      <x:c r="E63" s="339"/>
      <x:c r="F63" s="339"/>
      <x:c r="G63" s="339"/>
      <x:c r="H63" s="339"/>
      <x:c r="I63" s="339"/>
      <x:c r="J63" s="339"/>
      <x:c r="K63" s="339"/>
      <x:c r="L63" s="339"/>
      <x:c r="M63" s="339"/>
      <x:c r="N63" s="339"/>
      <x:c r="O63" s="339"/>
      <x:c r="P63" s="339"/>
      <x:c r="Q63" s="339"/>
      <x:c r="R63" s="339"/>
      <x:c r="S63" s="339"/>
      <x:c r="T63" s="339"/>
      <x:c r="U63" s="1194"/>
      <x:c r="V63" s="1194"/>
      <x:c r="W63" s="1194"/>
      <x:c r="X63" s="1194"/>
      <x:c r="Y63" s="339"/>
      <x:c r="Z63" s="339"/>
    </x:row>
    <x:row r="64">
      <x:c r="A64" s="339"/>
      <x:c r="B64" s="339"/>
      <x:c r="C64" s="339"/>
      <x:c r="D64" s="339"/>
      <x:c r="E64" s="339"/>
      <x:c r="F64" s="339"/>
      <x:c r="G64" s="339"/>
      <x:c r="H64" s="339"/>
      <x:c r="I64" s="339"/>
      <x:c r="J64" s="339"/>
      <x:c r="K64" s="339"/>
      <x:c r="L64" s="339"/>
      <x:c r="M64" s="339"/>
      <x:c r="N64" s="339"/>
      <x:c r="O64" s="339"/>
      <x:c r="P64" s="339"/>
      <x:c r="Q64" s="339"/>
      <x:c r="R64" s="339"/>
      <x:c r="S64" s="339"/>
      <x:c r="T64" s="339"/>
      <x:c r="U64" s="1194"/>
      <x:c r="V64" s="1194"/>
      <x:c r="W64" s="1194"/>
      <x:c r="X64" s="1194"/>
      <x:c r="Y64" s="339"/>
      <x:c r="Z64" s="339"/>
    </x:row>
    <x:row r="65">
      <x:c r="A65" s="339"/>
      <x:c r="B65" s="339"/>
      <x:c r="C65" s="339"/>
      <x:c r="D65" s="339"/>
      <x:c r="E65" s="339"/>
      <x:c r="F65" s="339"/>
      <x:c r="G65" s="339"/>
      <x:c r="H65" s="339"/>
      <x:c r="I65" s="339"/>
      <x:c r="J65" s="339"/>
      <x:c r="K65" s="339"/>
      <x:c r="L65" s="339"/>
      <x:c r="M65" s="339"/>
      <x:c r="N65" s="339"/>
      <x:c r="O65" s="339"/>
      <x:c r="P65" s="339"/>
      <x:c r="Q65" s="339"/>
      <x:c r="R65" s="339"/>
      <x:c r="S65" s="339"/>
      <x:c r="T65" s="339"/>
      <x:c r="U65" s="1194"/>
      <x:c r="V65" s="1194"/>
      <x:c r="W65" s="1194"/>
      <x:c r="X65" s="1194"/>
      <x:c r="Y65" s="339"/>
      <x:c r="Z65" s="339"/>
    </x:row>
    <x:row r="66" ht="23" customHeight="1">
      <x:c r="A66" s="905" t="str">
        <x:v>Whole-cohort earnings and targeted-delivery results</x:v>
      </x:c>
      <x:c r="B66" s="905"/>
      <x:c r="C66" s="905"/>
      <x:c r="D66" s="905"/>
      <x:c r="E66" s="905"/>
      <x:c r="F66" s="905"/>
      <x:c r="G66" s="905"/>
      <x:c r="H66" s="905"/>
      <x:c r="I66" s="905"/>
      <x:c r="J66" s="905"/>
      <x:c r="K66" s="905"/>
      <x:c r="L66" s="905"/>
      <x:c r="M66" s="339"/>
      <x:c r="N66" s="339"/>
      <x:c r="O66" s="339"/>
      <x:c r="P66" s="339"/>
      <x:c r="Q66" s="339"/>
      <x:c r="R66" s="339"/>
      <x:c r="S66" s="339"/>
      <x:c r="T66" s="339"/>
      <x:c r="U66" s="1194"/>
      <x:c r="V66" s="1194"/>
      <x:c r="W66" s="1194"/>
      <x:c r="X66" s="1194"/>
      <x:c r="Y66" s="339"/>
      <x:c r="Z66" s="339"/>
    </x:row>
    <x:row r="67" ht="30" customHeight="1">
      <x:c r="A67" s="909" t="str">
        <x:v>Metric</x:v>
      </x:c>
      <x:c r="B67" s="909" t="str">
        <x:v>2% discount</x:v>
      </x:c>
      <x:c r="C67" s="909" t="str">
        <x:v>4% discount</x:v>
      </x:c>
      <x:c r="D67" s="909" t="str">
        <x:v>8% discount</x:v>
      </x:c>
      <x:c r="E67" s="909" t="str">
        <x:v>Unit</x:v>
      </x:c>
      <x:c r="F67" s="909" t="str">
        <x:v>Interpretation</x:v>
      </x:c>
      <x:c r="G67" s="339"/>
      <x:c r="H67" s="909" t="str">
        <x:v>Delivery scenario</x:v>
      </x:c>
      <x:c r="I67" s="909" t="str">
        <x:v>Central cost</x:v>
      </x:c>
      <x:c r="J67" s="909" t="str">
        <x:v>Social break-even @4%</x:v>
      </x:c>
      <x:c r="K67" s="909" t="str">
        <x:v>Crown break-even @4%</x:v>
      </x:c>
      <x:c r="L67" s="909" t="str">
        <x:v>Decision status</x:v>
      </x:c>
      <x:c r="M67" s="339"/>
      <x:c r="N67" s="339"/>
      <x:c r="O67" s="339"/>
      <x:c r="P67" s="339"/>
      <x:c r="Q67" s="339"/>
      <x:c r="R67" s="339"/>
      <x:c r="S67" s="339"/>
      <x:c r="T67" s="339"/>
      <x:c r="U67" s="1194"/>
      <x:c r="V67" s="1194"/>
      <x:c r="W67" s="1194"/>
      <x:c r="X67" s="1194"/>
      <x:c r="Y67" s="339"/>
      <x:c r="Z67" s="339"/>
    </x:row>
    <x:row r="68">
      <x:c r="A68" s="28" t="str">
        <x:v>Mature national social break-even earnings uplift</x:v>
      </x:c>
      <x:c r="B68" s="997" t="n">
        <x:f>'Human Capital &amp; Earnings'!$J$116</x:f>
        <x:v>0.058127484370145754</x:v>
      </x:c>
      <x:c r="C68" s="997" t="n">
        <x:f>'Human Capital &amp; Earnings'!$J$117</x:f>
        <x:v>0.0851002355478312</x:v>
      </x:c>
      <x:c r="D68" s="997" t="n">
        <x:f>'Human Capital &amp; Earnings'!$J$118</x:f>
        <x:v>0.15455998337625385</x:v>
      </x:c>
      <x:c r="E68" s="28" t="str">
        <x:v>%</x:v>
      </x:c>
      <x:c r="F68" s="28" t="str">
        <x:v>Affected-population uplift; see cohort-equivalent measures separately.</x:v>
      </x:c>
      <x:c r="G68" s="339"/>
      <x:c r="H68" s="28" t="str">
        <x:v>Universal core only</x:v>
      </x:c>
      <x:c r="I68" s="344" t="n">
        <x:f>'Delivery Scenarios'!$G$20</x:f>
        <x:v>825136870.3583333</x:v>
      </x:c>
      <x:c r="J68" s="997" t="n">
        <x:f>'Human Capital &amp; Earnings'!$J$108</x:f>
        <x:v>0.05183174490521204</x:v>
      </x:c>
      <x:c r="K68" s="997" t="n">
        <x:f>'Human Capital &amp; Earnings'!$K$108</x:f>
        <x:v>0.19013128458612533</x:v>
      </x:c>
      <x:c r="L68" s="994" t="str">
        <x:v>CONDITIONAL / NOT TESTED</x:v>
      </x:c>
      <x:c r="M68" s="339"/>
      <x:c r="N68" s="339"/>
      <x:c r="O68" s="339"/>
      <x:c r="P68" s="339"/>
      <x:c r="Q68" s="339"/>
      <x:c r="R68" s="339"/>
      <x:c r="S68" s="339"/>
      <x:c r="T68" s="339"/>
      <x:c r="U68" s="1194"/>
      <x:c r="V68" s="1194"/>
      <x:c r="W68" s="1194"/>
      <x:c r="X68" s="1194"/>
      <x:c r="Y68" s="339"/>
      <x:c r="Z68" s="339"/>
    </x:row>
    <x:row r="69">
      <x:c r="A69" s="28" t="str">
        <x:v>Mature national Crown fiscal break-even earnings uplift</x:v>
      </x:c>
      <x:c r="B69" s="997" t="n">
        <x:f>'Human Capital &amp; Earnings'!$K$116</x:f>
        <x:v>0.21211870542530076</x:v>
      </x:c>
      <x:c r="C69" s="997" t="n">
        <x:f>'Human Capital &amp; Earnings'!$K$117</x:f>
        <x:v>0.3174347047868822</x:v>
      </x:c>
      <x:c r="D69" s="997" t="n">
        <x:f>'Human Capital &amp; Earnings'!$K$118</x:f>
        <x:v>0.6052354480592517</x:v>
      </x:c>
      <x:c r="E69" s="28" t="str">
        <x:v>%</x:v>
      </x:c>
      <x:c r="F69" s="28" t="str">
        <x:v>Tax, ACC, benefit and loan offsets only.</x:v>
      </x:c>
      <x:c r="G69" s="339"/>
      <x:c r="H69" s="28" t="str">
        <x:v>Universal core plus targeted accelerator</x:v>
      </x:c>
      <x:c r="I69" s="344" t="n">
        <x:f>'Delivery Scenarios'!$G$21</x:f>
        <x:v>875015750.3583333</x:v>
      </x:c>
      <x:c r="J69" s="997" t="n">
        <x:f>'Human Capital &amp; Earnings'!$J$111</x:f>
        <x:v>0.033256642039771675</x:v>
      </x:c>
      <x:c r="K69" s="997" t="n">
        <x:f>'Human Capital &amp; Earnings'!$K$111</x:f>
        <x:v>0.15033958524714106</x:v>
      </x:c>
      <x:c r="L69" s="994" t="str">
        <x:v>CONDITIONAL / NOT TESTED</x:v>
      </x:c>
      <x:c r="M69" s="339"/>
      <x:c r="N69" s="339"/>
      <x:c r="O69" s="339"/>
      <x:c r="P69" s="339"/>
      <x:c r="Q69" s="339"/>
      <x:c r="R69" s="339"/>
      <x:c r="S69" s="339"/>
      <x:c r="T69" s="339"/>
      <x:c r="U69" s="1194"/>
      <x:c r="V69" s="1194"/>
      <x:c r="W69" s="1194"/>
      <x:c r="X69" s="1194"/>
      <x:c r="Y69" s="339"/>
      <x:c r="Z69" s="339"/>
    </x:row>
    <x:row r="70">
      <x:c r="A70" s="28" t="str">
        <x:v>Core + accelerator social break-even earnings uplift</x:v>
      </x:c>
      <x:c r="B70" s="997" t="n">
        <x:f>'Human Capital &amp; Earnings'!$J$110</x:f>
        <x:v>0.022715858868379204</x:v>
      </x:c>
      <x:c r="C70" s="997" t="n">
        <x:f>'Human Capital &amp; Earnings'!$J$111</x:f>
        <x:v>0.033256642039771675</x:v>
      </x:c>
      <x:c r="D70" s="997" t="n">
        <x:f>'Human Capital &amp; Earnings'!$J$112</x:f>
        <x:v>0.06040107888923621</x:v>
      </x:c>
      <x:c r="E70" s="28" t="str">
        <x:v>%</x:v>
      </x:c>
      <x:c r="F70" s="28" t="str">
        <x:v>Leading testable structural scenario; retained high-risk effect is unproven.</x:v>
      </x:c>
      <x:c r="G70" s="339"/>
      <x:c r="H70" s="28" t="str">
        <x:v>Targeted pilot</x:v>
      </x:c>
      <x:c r="I70" s="344" t="n">
        <x:f>'Delivery Scenarios'!$G$22</x:f>
        <x:v>97579970.263125</x:v>
      </x:c>
      <x:c r="J70" s="997" t="n">
        <x:f>'Human Capital &amp; Earnings'!$J$114</x:f>
        <x:v>0.05168572155475939</x:v>
      </x:c>
      <x:c r="K70" s="997" t="n">
        <x:f>'Human Capital &amp; Earnings'!$K$114</x:f>
        <x:v>0.23373864282414236</x:v>
      </x:c>
      <x:c r="L70" s="994" t="str">
        <x:v>CONDITIONAL / NOT TESTED</x:v>
      </x:c>
      <x:c r="M70" s="339"/>
      <x:c r="N70" s="339"/>
      <x:c r="O70" s="339"/>
      <x:c r="P70" s="339"/>
      <x:c r="Q70" s="339"/>
      <x:c r="R70" s="339"/>
      <x:c r="S70" s="339"/>
      <x:c r="T70" s="339"/>
      <x:c r="U70" s="1194"/>
      <x:c r="V70" s="1194"/>
      <x:c r="W70" s="1194"/>
      <x:c r="X70" s="1194"/>
      <x:c r="Y70" s="339"/>
      <x:c r="Z70" s="339"/>
    </x:row>
    <x:row r="71">
      <x:c r="A71" s="28" t="str">
        <x:v>Mature national social BCR at 1% uplift</x:v>
      </x:c>
      <x:c r="B71" s="478" t="n">
        <x:f>'Human Capital &amp; Earnings'!$J$99</x:f>
        <x:v>0.3817901563689555</x:v>
      </x:c>
      <x:c r="C71" s="478" t="n">
        <x:f>'Human Capital &amp; Earnings'!$K$99</x:f>
        <x:v>0.3410767689181383</x:v>
      </x:c>
      <x:c r="D71" s="478" t="n">
        <x:f>'Human Capital &amp; Earnings'!$L$99</x:f>
        <x:v>0.3016465071613768</x:v>
      </x:c>
      <x:c r="E71" s="28" t="str">
        <x:v>x</x:v>
      </x:c>
      <x:c r="F71" s="28" t="str">
        <x:v>Whole-cohort earnings added without NEET overlap.</x:v>
      </x:c>
      <x:c r="G71" s="339"/>
      <x:c r="H71" s="28" t="str">
        <x:v>Mature national design</x:v>
      </x:c>
      <x:c r="I71" s="344" t="n">
        <x:f>'Delivery Scenarios'!$G$23</x:f>
        <x:v>1526137729.0833335</x:v>
      </x:c>
      <x:c r="J71" s="997" t="n">
        <x:f>'Human Capital &amp; Earnings'!$J$117</x:f>
        <x:v>0.0851002355478312</x:v>
      </x:c>
      <x:c r="K71" s="997" t="n">
        <x:f>'Human Capital &amp; Earnings'!$K$117</x:f>
        <x:v>0.3174347047868822</x:v>
      </x:c>
      <x:c r="L71" s="994" t="str">
        <x:v>CONDITIONAL / NOT TESTED</x:v>
      </x:c>
      <x:c r="M71" s="339"/>
      <x:c r="N71" s="339"/>
      <x:c r="O71" s="339"/>
      <x:c r="P71" s="339"/>
      <x:c r="Q71" s="339"/>
      <x:c r="R71" s="339"/>
      <x:c r="S71" s="339"/>
      <x:c r="T71" s="339"/>
      <x:c r="U71" s="1194"/>
      <x:c r="V71" s="1194"/>
      <x:c r="W71" s="1194"/>
      <x:c r="X71" s="1194"/>
      <x:c r="Y71" s="339"/>
      <x:c r="Z71" s="339"/>
    </x:row>
    <x:row r="72">
      <x:c r="A72" s="28" t="str">
        <x:v>Mature national social BCR at 5% uplift</x:v>
      </x:c>
      <x:c r="B72" s="478" t="n">
        <x:f>'Human Capital &amp; Earnings'!$J$102</x:f>
        <x:v>0.8956003849497204</x:v>
      </x:c>
      <x:c r="C72" s="478" t="n">
        <x:f>'Human Capital &amp; Earnings'!$K$102</x:f>
        <x:v>0.6920334476956341</x:v>
      </x:c>
      <x:c r="D72" s="478" t="n">
        <x:f>'Human Capital &amp; Earnings'!$L$102</x:f>
        <x:v>0.49488213891182653</x:v>
      </x:c>
      <x:c r="E72" s="28" t="str">
        <x:v>x</x:v>
      </x:c>
      <x:c r="F72" s="28" t="str">
        <x:v>Large sensitivity, not a forecast.</x:v>
      </x:c>
      <x:c r="G72" s="339"/>
      <x:c r="H72" s="339"/>
      <x:c r="I72" s="339"/>
      <x:c r="J72" s="339"/>
      <x:c r="K72" s="339"/>
      <x:c r="L72" s="339"/>
      <x:c r="M72" s="339"/>
      <x:c r="N72" s="339"/>
      <x:c r="O72" s="339"/>
      <x:c r="P72" s="339"/>
      <x:c r="Q72" s="339"/>
      <x:c r="R72" s="339"/>
      <x:c r="S72" s="339"/>
      <x:c r="T72" s="339"/>
      <x:c r="U72" s="1194"/>
      <x:c r="V72" s="1194"/>
      <x:c r="W72" s="1194"/>
      <x:c r="X72" s="1194"/>
      <x:c r="Y72" s="339"/>
      <x:c r="Z72" s="339"/>
    </x:row>
    <x:row r="73">
      <x:c r="A73" s="28" t="str">
        <x:v>Committed pooled co-investment</x:v>
      </x:c>
      <x:c r="B73" s="344" t="n">
        <x:f>'Delivery Scenarios'!$B$14</x:f>
        <x:v>0</x:v>
      </x:c>
      <x:c r="C73" s="344" t="n">
        <x:f>'Delivery Scenarios'!$B$14</x:f>
        <x:v>0</x:v>
      </x:c>
      <x:c r="D73" s="344" t="n">
        <x:f>'Delivery Scenarios'!$B$14</x:f>
        <x:v>0</x:v>
      </x:c>
      <x:c r="E73" s="28" t="str">
        <x:v>NZD/year</x:v>
      </x:c>
      <x:c r="F73" s="28" t="str">
        <x:v>Central value remains zero until signed.</x:v>
      </x:c>
      <x:c r="G73" s="339"/>
      <x:c r="H73" s="339"/>
      <x:c r="I73" s="339"/>
      <x:c r="J73" s="339"/>
      <x:c r="K73" s="339"/>
      <x:c r="L73" s="339"/>
      <x:c r="M73" s="339"/>
      <x:c r="N73" s="339"/>
      <x:c r="O73" s="339"/>
      <x:c r="P73" s="339"/>
      <x:c r="Q73" s="339"/>
      <x:c r="R73" s="339"/>
      <x:c r="S73" s="339"/>
      <x:c r="T73" s="339"/>
      <x:c r="U73" s="1194"/>
      <x:c r="V73" s="1194"/>
      <x:c r="W73" s="1194"/>
      <x:c r="X73" s="1194"/>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1194"/>
      <x:c r="V74" s="1194"/>
      <x:c r="W74" s="1194"/>
      <x:c r="X74" s="1194"/>
      <x:c r="Y74" s="339"/>
      <x:c r="Z74" s="339"/>
    </x:row>
    <x:row r="75">
      <x:c r="A75" s="1076" t="str">
        <x:v>Economic interpretation controls — Treasury-aligned lead view</x:v>
      </x:c>
      <x:c r="B75" s="1076"/>
      <x:c r="C75" s="1076"/>
      <x:c r="D75" s="1076"/>
      <x:c r="E75" s="1076"/>
      <x:c r="F75" s="1076"/>
      <x:c r="G75" s="1076"/>
      <x:c r="H75" s="1071"/>
      <x:c r="I75" s="1071"/>
      <x:c r="J75" s="1071"/>
      <x:c r="K75" s="1071"/>
      <x:c r="L75" s="1071"/>
      <x:c r="M75" s="339"/>
      <x:c r="N75" s="339"/>
      <x:c r="O75" s="339"/>
      <x:c r="P75" s="339"/>
      <x:c r="Q75" s="339"/>
      <x:c r="R75" s="339"/>
      <x:c r="S75" s="339"/>
      <x:c r="T75" s="339"/>
      <x:c r="U75" s="1194"/>
      <x:c r="V75" s="1194"/>
      <x:c r="W75" s="1194"/>
      <x:c r="X75" s="1194"/>
      <x:c r="Y75" s="339"/>
      <x:c r="Z75" s="339"/>
    </x:row>
    <x:row r="76">
      <x:c r="A76" s="1074" t="str">
        <x:v>Metric</x:v>
      </x:c>
      <x:c r="B76" s="1074" t="str">
        <x:v>2% Treasury-aligned</x:v>
      </x:c>
      <x:c r="C76" s="1074" t="str">
        <x:v>4% intermediate</x:v>
      </x:c>
      <x:c r="D76" s="1074" t="str">
        <x:v>8% high</x:v>
      </x:c>
      <x:c r="E76" s="1074" t="str">
        <x:v>Perspective</x:v>
      </x:c>
      <x:c r="F76" s="1074" t="str">
        <x:v>Evidence status</x:v>
      </x:c>
      <x:c r="G76" s="1074" t="str">
        <x:v>What it means</x:v>
      </x:c>
      <x:c r="H76" s="339"/>
      <x:c r="I76" s="339"/>
      <x:c r="J76" s="339"/>
      <x:c r="K76" s="339"/>
      <x:c r="L76" s="339"/>
      <x:c r="M76" s="339"/>
      <x:c r="N76" s="339"/>
      <x:c r="O76" s="339"/>
      <x:c r="P76" s="339"/>
      <x:c r="Q76" s="339"/>
      <x:c r="R76" s="339"/>
      <x:c r="S76" s="339"/>
      <x:c r="T76" s="339"/>
      <x:c r="U76" s="1194"/>
      <x:c r="V76" s="1194"/>
      <x:c r="W76" s="1194"/>
      <x:c r="X76" s="1194"/>
      <x:c r="Y76" s="339"/>
      <x:c r="Z76" s="339"/>
    </x:row>
    <x:row r="77">
      <x:c r="A77" s="28" t="str">
        <x:v>Full-expenditure social-investment BCR at 1% affected-population uplift</x:v>
      </x:c>
      <x:c r="B77" s="1077" t="n">
        <x:f>'Human Capital &amp; Earnings'!$J$99</x:f>
        <x:v>0.3817901563689555</x:v>
      </x:c>
      <x:c r="C77" s="1077" t="n">
        <x:f>'Human Capital &amp; Earnings'!$K$99</x:f>
        <x:v>0.3410767689181383</x:v>
      </x:c>
      <x:c r="D77" s="1077" t="n">
        <x:f>'Human Capital &amp; Earnings'!$L$99</x:f>
        <x:v>0.3016465071613768</x:v>
      </x:c>
      <x:c r="E77" s="28" t="str">
        <x:v>National social value / full public expenditure</x:v>
      </x:c>
      <x:c r="F77" s="28" t="str">
        <x:v>Scenario sensitivity</x:v>
      </x:c>
      <x:c r="G77" s="28" t="str">
        <x:v>Stringent value-for-money view; not Crown cash recovery.</x:v>
      </x:c>
      <x:c r="H77" s="339"/>
      <x:c r="I77" s="339"/>
      <x:c r="J77" s="339"/>
      <x:c r="K77" s="339"/>
      <x:c r="L77" s="339"/>
      <x:c r="M77" s="339"/>
      <x:c r="N77" s="339"/>
      <x:c r="O77" s="339"/>
      <x:c r="P77" s="339"/>
      <x:c r="Q77" s="339"/>
      <x:c r="R77" s="339"/>
      <x:c r="S77" s="339"/>
      <x:c r="T77" s="339"/>
      <x:c r="U77" s="1194"/>
      <x:c r="V77" s="1194"/>
      <x:c r="W77" s="1194"/>
      <x:c r="X77" s="1194"/>
      <x:c r="Y77" s="339"/>
      <x:c r="Z77" s="339"/>
    </x:row>
    <x:row r="78">
      <x:c r="A78" s="28" t="str">
        <x:v>Provisional alternative economic treatment of participant transfers — not Treasury-confirmed</x:v>
      </x:c>
      <x:c r="B78" s="1077" t="n">
        <x:f>'Human Capital &amp; Earnings'!$O$99</x:f>
        <x:v>1.8775030857228854</x:v>
      </x:c>
      <x:c r="C78" s="1077" t="n">
        <x:f>'Human Capital &amp; Earnings'!$P$99</x:f>
        <x:v>1.6772896719038268</x:v>
      </x:c>
      <x:c r="D78" s="1077" t="n">
        <x:f>'Human Capital &amp; Earnings'!$Q$99</x:f>
        <x:v>1.4833861966983553</x:v>
      </x:c>
      <x:c r="E78" s="28" t="str">
        <x:v>National social value / provisional real resource cost</x:v>
      </x:c>
      <x:c r="F78" s="28" t="str">
        <x:v>Provisional methodology — Treasury confirmation required</x:v>
      </x:c>
      <x:c r="G78" s="28" t="str">
        <x:v>Technical sensitivity only; not the principal public BCR.</x:v>
      </x:c>
      <x:c r="H78" s="339"/>
      <x:c r="I78" s="339"/>
      <x:c r="J78" s="339"/>
      <x:c r="K78" s="339"/>
      <x:c r="L78" s="339"/>
      <x:c r="M78" s="339"/>
      <x:c r="N78" s="339"/>
      <x:c r="O78" s="339"/>
      <x:c r="P78" s="339"/>
      <x:c r="Q78" s="339"/>
      <x:c r="R78" s="339"/>
      <x:c r="S78" s="339"/>
      <x:c r="T78" s="339"/>
      <x:c r="U78" s="1194"/>
      <x:c r="V78" s="1194"/>
      <x:c r="W78" s="1194"/>
      <x:c r="X78" s="1194"/>
      <x:c r="Y78" s="339"/>
      <x:c r="Z78" s="339"/>
    </x:row>
    <x:row r="79">
      <x:c r="A79" s="28" t="str">
        <x:v>Affected-population earnings uplift</x:v>
      </x:c>
      <x:c r="B79" s="1090" t="n">
        <x:v>0.01</x:v>
      </x:c>
      <x:c r="C79" s="1090" t="n">
        <x:v>0.01</x:v>
      </x:c>
      <x:c r="D79" s="1090" t="n">
        <x:v>0.01</x:v>
      </x:c>
      <x:c r="E79" s="28" t="str">
        <x:v>Effective affected employed population</x:v>
      </x:c>
      <x:c r="F79" s="28" t="str">
        <x:v>Scenario input</x:v>
      </x:c>
      <x:c r="G79" s="28" t="str">
        <x:v>Does not apply uniformly to all students.</x:v>
      </x:c>
      <x:c r="H79" s="339"/>
      <x:c r="I79" s="339"/>
      <x:c r="J79" s="339"/>
      <x:c r="K79" s="339"/>
      <x:c r="L79" s="339"/>
      <x:c r="M79" s="339"/>
      <x:c r="N79" s="339"/>
      <x:c r="O79" s="339"/>
      <x:c r="P79" s="339"/>
      <x:c r="Q79" s="339"/>
      <x:c r="R79" s="339"/>
      <x:c r="S79" s="339"/>
      <x:c r="T79" s="339"/>
      <x:c r="U79" s="1194"/>
      <x:c r="V79" s="1194"/>
      <x:c r="W79" s="1194"/>
      <x:c r="X79" s="1194"/>
      <x:c r="Y79" s="339"/>
      <x:c r="Z79" s="339"/>
    </x:row>
    <x:row r="80">
      <x:c r="A80" s="28" t="str">
        <x:v>Value-weighted cohort-equivalent uplift — broad non-overlap cohort</x:v>
      </x:c>
      <x:c r="B80" s="1090" t="n">
        <x:f>'Human Capital &amp; Earnings'!$D$140</x:f>
        <x:v>0.00165699</x:v>
      </x:c>
      <x:c r="C80" s="1090" t="n">
        <x:f>'Human Capital &amp; Earnings'!$D$140</x:f>
        <x:v>0.00165699</x:v>
      </x:c>
      <x:c r="D80" s="1090" t="n">
        <x:f>'Human Capital &amp; Earnings'!$D$140</x:f>
        <x:v>0.00165699</x:v>
      </x:c>
      <x:c r="E80" s="28" t="str">
        <x:v>Broad non-overlap cohort</x:v>
      </x:c>
      <x:c r="F80" s="28" t="str">
        <x:v>Calculated explanation</x:v>
      </x:c>
      <x:c r="G80" s="28" t="str">
        <x:v>Equivalent average carrying the same modelled earnings value.</x:v>
      </x:c>
      <x:c r="H80" s="339"/>
      <x:c r="I80" s="339"/>
      <x:c r="J80" s="339"/>
      <x:c r="K80" s="339"/>
      <x:c r="L80" s="339"/>
      <x:c r="M80" s="339"/>
      <x:c r="N80" s="339"/>
      <x:c r="O80" s="339"/>
      <x:c r="P80" s="339"/>
      <x:c r="Q80" s="339"/>
      <x:c r="R80" s="339"/>
      <x:c r="S80" s="339"/>
      <x:c r="T80" s="339"/>
      <x:c r="U80" s="1194"/>
      <x:c r="V80" s="1194"/>
      <x:c r="W80" s="1194"/>
      <x:c r="X80" s="1194"/>
      <x:c r="Y80" s="339"/>
      <x:c r="Z80" s="339"/>
    </x:row>
    <x:row r="81">
      <x:c r="A81" s="28" t="str">
        <x:v>Value-weighted cohort-equivalent uplift — full eligible cohort</x:v>
      </x:c>
      <x:c r="B81" s="1090" t="n">
        <x:f>'Human Capital &amp; Earnings'!$D$141</x:f>
        <x:v>0.0016197077249999999</x:v>
      </x:c>
      <x:c r="C81" s="1090" t="n">
        <x:f>'Human Capital &amp; Earnings'!$D$141</x:f>
        <x:v>0.0016197077249999999</x:v>
      </x:c>
      <x:c r="D81" s="1090" t="n">
        <x:f>'Human Capital &amp; Earnings'!$D$141</x:f>
        <x:v>0.0016197077249999999</x:v>
      </x:c>
      <x:c r="E81" s="28" t="str">
        <x:v>Full annual eligible cohort</x:v>
      </x:c>
      <x:c r="F81" s="28" t="str">
        <x:v>Calculated explanation</x:v>
      </x:c>
      <x:c r="G81" s="28" t="str">
        <x:v>Preferred public whole-cohort equivalent.</x:v>
      </x:c>
      <x:c r="H81" s="339"/>
      <x:c r="I81" s="339"/>
      <x:c r="J81" s="339"/>
      <x:c r="K81" s="339"/>
      <x:c r="L81" s="339"/>
      <x:c r="M81" s="339"/>
      <x:c r="N81" s="339"/>
      <x:c r="O81" s="339"/>
      <x:c r="P81" s="339"/>
      <x:c r="Q81" s="339"/>
      <x:c r="R81" s="339"/>
      <x:c r="S81" s="339"/>
      <x:c r="T81" s="339"/>
      <x:c r="U81" s="1194"/>
      <x:c r="V81" s="1194"/>
      <x:c r="W81" s="1194"/>
      <x:c r="X81" s="1194"/>
      <x:c r="Y81" s="339"/>
      <x:c r="Z81" s="339"/>
    </x:row>
    <x:row r="82">
      <x:c r="A82" s="28" t="str">
        <x:v>Core plus targeted accelerator status</x:v>
      </x:c>
      <x:c r="B82" s="28" t="str">
        <x:v>Leading testable structural scenario</x:v>
      </x:c>
      <x:c r="C82" s="28"/>
      <x:c r="D82" s="28"/>
      <x:c r="E82" s="28" t="str">
        <x:v>Delivery structure</x:v>
      </x:c>
      <x:c r="F82" s="28" t="str">
        <x:v>Leading testable structural scenario</x:v>
      </x:c>
      <x:c r="G82" s="28" t="str">
        <x:v>Financially promising under assumptions, not proven.</x:v>
      </x:c>
      <x:c r="H82" s="339"/>
      <x:c r="I82" s="339"/>
      <x:c r="J82" s="339"/>
      <x:c r="K82" s="339"/>
      <x:c r="L82" s="339"/>
      <x:c r="M82" s="339"/>
      <x:c r="N82" s="339"/>
      <x:c r="O82" s="339"/>
      <x:c r="P82" s="339"/>
      <x:c r="Q82" s="339"/>
      <x:c r="R82" s="339"/>
      <x:c r="S82" s="339"/>
      <x:c r="T82" s="339"/>
      <x:c r="U82" s="1194"/>
      <x:c r="V82" s="1194"/>
      <x:c r="W82" s="1194"/>
      <x:c r="X82" s="1194"/>
      <x:c r="Y82" s="339"/>
      <x:c r="Z82" s="339"/>
    </x:row>
    <x:row r="83">
      <x:c r="A83" s="1371" t="str">
        <x:v>This calculation removes the cash-transfer component of participant payments from the national resource-cost denominator. It does not yet incorporate a validated marginal cost of public funds, deadweight cost of taxation or complete behavioural treatment. It must not be treated as a Treasury-endorsed BCR.</x:v>
      </x:c>
      <x:c r="B83" s="1371"/>
      <x:c r="C83" s="1371"/>
      <x:c r="D83" s="1371"/>
      <x:c r="E83" s="1371"/>
      <x:c r="F83" s="1371"/>
      <x:c r="G83" s="1371"/>
      <x:c r="H83" s="1371"/>
      <x:c r="I83" s="1371"/>
      <x:c r="J83" s="1371"/>
      <x:c r="K83" s="1371"/>
      <x:c r="L83" s="1371"/>
      <x:c r="M83" s="339"/>
      <x:c r="N83" s="339"/>
      <x:c r="O83" s="339"/>
      <x:c r="P83" s="339"/>
      <x:c r="Q83" s="339"/>
      <x:c r="R83" s="339"/>
      <x:c r="S83" s="339"/>
      <x:c r="T83" s="339"/>
      <x:c r="U83" s="1194"/>
      <x:c r="V83" s="1194"/>
      <x:c r="W83" s="1194"/>
      <x:c r="X83" s="1194"/>
      <x:c r="Y83" s="339"/>
      <x:c r="Z83" s="339"/>
    </x:row>
    <x:row r="84">
      <x:c r="A84" s="1371"/>
      <x:c r="B84" s="1371"/>
      <x:c r="C84" s="1371"/>
      <x:c r="D84" s="1371"/>
      <x:c r="E84" s="1371"/>
      <x:c r="F84" s="1371"/>
      <x:c r="G84" s="1371"/>
      <x:c r="H84" s="1371"/>
      <x:c r="I84" s="1371"/>
      <x:c r="J84" s="1371"/>
      <x:c r="K84" s="1371"/>
      <x:c r="L84" s="1371"/>
      <x:c r="M84" s="339"/>
      <x:c r="N84" s="339"/>
      <x:c r="O84" s="339"/>
      <x:c r="P84" s="339"/>
      <x:c r="Q84" s="339"/>
      <x:c r="R84" s="339"/>
      <x:c r="S84" s="339"/>
      <x:c r="T84" s="339"/>
      <x:c r="U84" s="1194"/>
      <x:c r="V84" s="1194"/>
      <x:c r="W84" s="1194"/>
      <x:c r="X84" s="1194"/>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1194"/>
      <x:c r="V85" s="1194"/>
      <x:c r="W85" s="1194"/>
      <x:c r="X85" s="1194"/>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1194"/>
      <x:c r="V86" s="1194"/>
      <x:c r="W86" s="1194"/>
      <x:c r="X86" s="1194"/>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1194"/>
      <x:c r="V87" s="1194"/>
      <x:c r="W87" s="1194"/>
      <x:c r="X87" s="1194"/>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1194"/>
      <x:c r="V88" s="1194"/>
      <x:c r="W88" s="1194"/>
      <x:c r="X88" s="1194"/>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1194"/>
      <x:c r="V89" s="1194"/>
      <x:c r="W89" s="1194"/>
      <x:c r="X89" s="1194"/>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1194"/>
      <x:c r="V90" s="1194"/>
      <x:c r="W90" s="1194"/>
      <x:c r="X90" s="1194"/>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1194"/>
      <x:c r="V91" s="1194"/>
      <x:c r="W91" s="1194"/>
      <x:c r="X91" s="1194"/>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1194"/>
      <x:c r="V92" s="1194"/>
      <x:c r="W92" s="1194"/>
      <x:c r="X92" s="1194"/>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1194"/>
      <x:c r="V93" s="1194"/>
      <x:c r="W93" s="1194"/>
      <x:c r="X93" s="1194"/>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1194"/>
      <x:c r="V94" s="1194"/>
      <x:c r="W94" s="1194"/>
      <x:c r="X94" s="1194"/>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1194"/>
      <x:c r="V95" s="1194"/>
      <x:c r="W95" s="1194"/>
      <x:c r="X95" s="1194"/>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1194"/>
      <x:c r="V96" s="1194"/>
      <x:c r="W96" s="1194"/>
      <x:c r="X96" s="1194"/>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1194"/>
      <x:c r="V97" s="1194"/>
      <x:c r="W97" s="1194"/>
      <x:c r="X97" s="1194"/>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1194"/>
      <x:c r="V98" s="1194"/>
      <x:c r="W98" s="1194"/>
      <x:c r="X98" s="1194"/>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1194"/>
      <x:c r="V99" s="1194"/>
      <x:c r="W99" s="1194"/>
      <x:c r="X99" s="1194"/>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1194"/>
      <x:c r="V100" s="1194"/>
      <x:c r="W100" s="1194"/>
      <x:c r="X100" s="1194"/>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1194"/>
      <x:c r="V101" s="1194"/>
      <x:c r="W101" s="1194"/>
      <x:c r="X101" s="1194"/>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1194"/>
      <x:c r="V102" s="1194"/>
      <x:c r="W102" s="1194"/>
      <x:c r="X102" s="1194"/>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1194"/>
      <x:c r="V103" s="1194"/>
      <x:c r="W103" s="1194"/>
      <x:c r="X103" s="1194"/>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1194"/>
      <x:c r="V104" s="1194"/>
      <x:c r="W104" s="1194"/>
      <x:c r="X104" s="1194"/>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1194"/>
      <x:c r="V105" s="1194"/>
      <x:c r="W105" s="1194"/>
      <x:c r="X105" s="1194"/>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1194"/>
      <x:c r="V106" s="1194"/>
      <x:c r="W106" s="1194"/>
      <x:c r="X106" s="1194"/>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1194"/>
      <x:c r="V107" s="1194"/>
      <x:c r="W107" s="1194"/>
      <x:c r="X107" s="1194"/>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1194"/>
      <x:c r="V108" s="1194"/>
      <x:c r="W108" s="1194"/>
      <x:c r="X108" s="1194"/>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1194"/>
      <x:c r="V109" s="1194"/>
      <x:c r="W109" s="1194"/>
      <x:c r="X109" s="1194"/>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1194"/>
      <x:c r="V110" s="1194"/>
      <x:c r="W110" s="1194"/>
      <x:c r="X110" s="1194"/>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1194"/>
      <x:c r="V111" s="1194"/>
      <x:c r="W111" s="1194"/>
      <x:c r="X111" s="1194"/>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1194"/>
      <x:c r="V112" s="1194"/>
      <x:c r="W112" s="1194"/>
      <x:c r="X112" s="1194"/>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1194"/>
      <x:c r="V113" s="1194"/>
      <x:c r="W113" s="1194"/>
      <x:c r="X113" s="1194"/>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1194"/>
      <x:c r="V114" s="1194"/>
      <x:c r="W114" s="1194"/>
      <x:c r="X114" s="1194"/>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1194"/>
      <x:c r="V115" s="1194"/>
      <x:c r="W115" s="1194"/>
      <x:c r="X115" s="1194"/>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1194"/>
      <x:c r="V116" s="1194"/>
      <x:c r="W116" s="1194"/>
      <x:c r="X116" s="1194"/>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1194"/>
      <x:c r="V117" s="1194"/>
      <x:c r="W117" s="1194"/>
      <x:c r="X117" s="1194"/>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1194"/>
      <x:c r="V118" s="1194"/>
      <x:c r="W118" s="1194"/>
      <x:c r="X118" s="1194"/>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1194"/>
      <x:c r="V119" s="1194"/>
      <x:c r="W119" s="1194"/>
      <x:c r="X119" s="1194"/>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1194"/>
      <x:c r="V120" s="1194"/>
      <x:c r="W120" s="1194"/>
      <x:c r="X120" s="1194"/>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1194"/>
      <x:c r="V121" s="1194"/>
      <x:c r="W121" s="1194"/>
      <x:c r="X121" s="1194"/>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1194"/>
      <x:c r="V122" s="1194"/>
      <x:c r="W122" s="1194"/>
      <x:c r="X122" s="1194"/>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1194"/>
      <x:c r="V123" s="1194"/>
      <x:c r="W123" s="1194"/>
      <x:c r="X123" s="1194"/>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1194"/>
      <x:c r="V124" s="1194"/>
      <x:c r="W124" s="1194"/>
      <x:c r="X124" s="1194"/>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1194"/>
      <x:c r="V125" s="1194"/>
      <x:c r="W125" s="1194"/>
      <x:c r="X125" s="1194"/>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1194"/>
      <x:c r="V126" s="1194"/>
      <x:c r="W126" s="1194"/>
      <x:c r="X126" s="1194"/>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1194"/>
      <x:c r="V127" s="1194"/>
      <x:c r="W127" s="1194"/>
      <x:c r="X127" s="1194"/>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1194"/>
      <x:c r="V128" s="1194"/>
      <x:c r="W128" s="1194"/>
      <x:c r="X128" s="1194"/>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1194"/>
      <x:c r="V129" s="1194"/>
      <x:c r="W129" s="1194"/>
      <x:c r="X129" s="1194"/>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1194"/>
      <x:c r="V130" s="1194"/>
      <x:c r="W130" s="1194"/>
      <x:c r="X130" s="1194"/>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1194"/>
      <x:c r="V131" s="1194"/>
      <x:c r="W131" s="1194"/>
      <x:c r="X131" s="1194"/>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1194"/>
      <x:c r="V132" s="1194"/>
      <x:c r="W132" s="1194"/>
      <x:c r="X132" s="1194"/>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1194"/>
      <x:c r="V133" s="1194"/>
      <x:c r="W133" s="1194"/>
      <x:c r="X133" s="1194"/>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1194"/>
      <x:c r="V134" s="1194"/>
      <x:c r="W134" s="1194"/>
      <x:c r="X134" s="1194"/>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1194"/>
      <x:c r="V135" s="1194"/>
      <x:c r="W135" s="1194"/>
      <x:c r="X135" s="1194"/>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1194"/>
      <x:c r="V136" s="1194"/>
      <x:c r="W136" s="1194"/>
      <x:c r="X136" s="1194"/>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1194"/>
      <x:c r="V137" s="1194"/>
      <x:c r="W137" s="1194"/>
      <x:c r="X137" s="1194"/>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1194"/>
      <x:c r="V138" s="1194"/>
      <x:c r="W138" s="1194"/>
      <x:c r="X138" s="1194"/>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1194"/>
      <x:c r="V139" s="1194"/>
      <x:c r="W139" s="1194"/>
      <x:c r="X139" s="1194"/>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1194"/>
      <x:c r="V140" s="1194"/>
      <x:c r="W140" s="1194"/>
      <x:c r="X140" s="1194"/>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1194"/>
      <x:c r="V141" s="1194"/>
      <x:c r="W141" s="1194"/>
      <x:c r="X141" s="1194"/>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1194"/>
      <x:c r="V142" s="1194"/>
      <x:c r="W142" s="1194"/>
      <x:c r="X142" s="1194"/>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1194"/>
      <x:c r="V143" s="1194"/>
      <x:c r="W143" s="1194"/>
      <x:c r="X143" s="1194"/>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1194"/>
      <x:c r="V144" s="1194"/>
      <x:c r="W144" s="1194"/>
      <x:c r="X144" s="1194"/>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1194"/>
      <x:c r="V145" s="1194"/>
      <x:c r="W145" s="1194"/>
      <x:c r="X145" s="1194"/>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1194"/>
      <x:c r="V146" s="1194"/>
      <x:c r="W146" s="1194"/>
      <x:c r="X146" s="1194"/>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1194"/>
      <x:c r="V147" s="1194"/>
      <x:c r="W147" s="1194"/>
      <x:c r="X147" s="1194"/>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1194"/>
      <x:c r="V148" s="1194"/>
      <x:c r="W148" s="1194"/>
      <x:c r="X148" s="1194"/>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1194"/>
      <x:c r="V149" s="1194"/>
      <x:c r="W149" s="1194"/>
      <x:c r="X149" s="1194"/>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1194"/>
      <x:c r="V150" s="1194"/>
      <x:c r="W150" s="1194"/>
      <x:c r="X150" s="1194"/>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1194"/>
      <x:c r="V151" s="1194"/>
      <x:c r="W151" s="1194"/>
      <x:c r="X151" s="1194"/>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1194"/>
      <x:c r="V152" s="1194"/>
      <x:c r="W152" s="1194"/>
      <x:c r="X152" s="1194"/>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1194"/>
      <x:c r="V153" s="1194"/>
      <x:c r="W153" s="1194"/>
      <x:c r="X153" s="1194"/>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1194"/>
      <x:c r="V154" s="1194"/>
      <x:c r="W154" s="1194"/>
      <x:c r="X154" s="1194"/>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1194"/>
      <x:c r="V155" s="1194"/>
      <x:c r="W155" s="1194"/>
      <x:c r="X155" s="1194"/>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1194"/>
      <x:c r="V156" s="1194"/>
      <x:c r="W156" s="1194"/>
      <x:c r="X156" s="1194"/>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1194"/>
      <x:c r="V157" s="1194"/>
      <x:c r="W157" s="1194"/>
      <x:c r="X157" s="1194"/>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1194"/>
      <x:c r="V158" s="1194"/>
      <x:c r="W158" s="1194"/>
      <x:c r="X158" s="1194"/>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1194"/>
      <x:c r="V159" s="1194"/>
      <x:c r="W159" s="1194"/>
      <x:c r="X159" s="1194"/>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1194"/>
      <x:c r="V160" s="1194"/>
      <x:c r="W160" s="1194"/>
      <x:c r="X160" s="1194"/>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1194"/>
      <x:c r="V161" s="1194"/>
      <x:c r="W161" s="1194"/>
      <x:c r="X161" s="1194"/>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1194"/>
      <x:c r="V162" s="1194"/>
      <x:c r="W162" s="1194"/>
      <x:c r="X162" s="1194"/>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1194"/>
      <x:c r="V163" s="1194"/>
      <x:c r="W163" s="1194"/>
      <x:c r="X163" s="1194"/>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1194"/>
      <x:c r="V164" s="1194"/>
      <x:c r="W164" s="1194"/>
      <x:c r="X164" s="1194"/>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1194"/>
      <x:c r="V165" s="1194"/>
      <x:c r="W165" s="1194"/>
      <x:c r="X165" s="1194"/>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1194"/>
      <x:c r="V166" s="1194"/>
      <x:c r="W166" s="1194"/>
      <x:c r="X166" s="1194"/>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1194"/>
      <x:c r="V167" s="1194"/>
      <x:c r="W167" s="1194"/>
      <x:c r="X167" s="1194"/>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1194"/>
      <x:c r="V168" s="1194"/>
      <x:c r="W168" s="1194"/>
      <x:c r="X168" s="1194"/>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1194"/>
      <x:c r="V169" s="1194"/>
      <x:c r="W169" s="1194"/>
      <x:c r="X169" s="1194"/>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1194"/>
      <x:c r="V170" s="1194"/>
      <x:c r="W170" s="1194"/>
      <x:c r="X170" s="1194"/>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1194"/>
      <x:c r="V171" s="1194"/>
      <x:c r="W171" s="1194"/>
      <x:c r="X171" s="1194"/>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1194"/>
      <x:c r="V172" s="1194"/>
      <x:c r="W172" s="1194"/>
      <x:c r="X172" s="1194"/>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1194"/>
      <x:c r="V173" s="1194"/>
      <x:c r="W173" s="1194"/>
      <x:c r="X173" s="1194"/>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1194"/>
      <x:c r="V174" s="1194"/>
      <x:c r="W174" s="1194"/>
      <x:c r="X174" s="1194"/>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1194"/>
      <x:c r="V175" s="1194"/>
      <x:c r="W175" s="1194"/>
      <x:c r="X175" s="1194"/>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1194"/>
      <x:c r="V176" s="1194"/>
      <x:c r="W176" s="1194"/>
      <x:c r="X176" s="1194"/>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1194"/>
      <x:c r="V177" s="1194"/>
      <x:c r="W177" s="1194"/>
      <x:c r="X177" s="1194"/>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1194"/>
      <x:c r="V178" s="1194"/>
      <x:c r="W178" s="1194"/>
      <x:c r="X178" s="1194"/>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1194"/>
      <x:c r="V179" s="1194"/>
      <x:c r="W179" s="1194"/>
      <x:c r="X179" s="1194"/>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1194"/>
      <x:c r="V180" s="1194"/>
      <x:c r="W180" s="1194"/>
      <x:c r="X180" s="1194"/>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1194"/>
      <x:c r="V181" s="1194"/>
      <x:c r="W181" s="1194"/>
      <x:c r="X181" s="1194"/>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1194"/>
      <x:c r="V182" s="1194"/>
      <x:c r="W182" s="1194"/>
      <x:c r="X182" s="1194"/>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1194"/>
      <x:c r="V183" s="1194"/>
      <x:c r="W183" s="1194"/>
      <x:c r="X183" s="1194"/>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1194"/>
      <x:c r="V184" s="1194"/>
      <x:c r="W184" s="1194"/>
      <x:c r="X184" s="1194"/>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1194"/>
      <x:c r="V185" s="1194"/>
      <x:c r="W185" s="1194"/>
      <x:c r="X185" s="1194"/>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1194"/>
      <x:c r="V186" s="1194"/>
      <x:c r="W186" s="1194"/>
      <x:c r="X186" s="1194"/>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1194"/>
      <x:c r="V187" s="1194"/>
      <x:c r="W187" s="1194"/>
      <x:c r="X187" s="1194"/>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1194"/>
      <x:c r="V188" s="1194"/>
      <x:c r="W188" s="1194"/>
      <x:c r="X188" s="1194"/>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1194"/>
      <x:c r="V189" s="1194"/>
      <x:c r="W189" s="1194"/>
      <x:c r="X189" s="1194"/>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1194"/>
      <x:c r="V190" s="1194"/>
      <x:c r="W190" s="1194"/>
      <x:c r="X190" s="1194"/>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1194"/>
      <x:c r="V191" s="1194"/>
      <x:c r="W191" s="1194"/>
      <x:c r="X191" s="1194"/>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1194"/>
      <x:c r="V192" s="1194"/>
      <x:c r="W192" s="1194"/>
      <x:c r="X192" s="1194"/>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1194"/>
      <x:c r="V193" s="1194"/>
      <x:c r="W193" s="1194"/>
      <x:c r="X193" s="1194"/>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1194"/>
      <x:c r="V194" s="1194"/>
      <x:c r="W194" s="1194"/>
      <x:c r="X194" s="1194"/>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1194"/>
      <x:c r="V195" s="1194"/>
      <x:c r="W195" s="1194"/>
      <x:c r="X195" s="1194"/>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1194"/>
      <x:c r="V196" s="1194"/>
      <x:c r="W196" s="1194"/>
      <x:c r="X196" s="1194"/>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1194"/>
      <x:c r="V197" s="1194"/>
      <x:c r="W197" s="1194"/>
      <x:c r="X197" s="1194"/>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1194"/>
      <x:c r="V198" s="1194"/>
      <x:c r="W198" s="1194"/>
      <x:c r="X198" s="1194"/>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1194"/>
      <x:c r="V199" s="1194"/>
      <x:c r="W199" s="1194"/>
      <x:c r="X199" s="1194"/>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1194"/>
      <x:c r="V200" s="1194"/>
      <x:c r="W200" s="1194"/>
      <x:c r="X200" s="1194"/>
      <x:c r="Y200" s="339"/>
      <x:c r="Z200" s="339"/>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L1"/>
    <x:mergeCell ref="A2:L2"/>
    <x:mergeCell ref="A4:L6"/>
    <x:mergeCell ref="A8:F8"/>
    <x:mergeCell ref="H8:L8"/>
    <x:mergeCell ref="A18:F18"/>
    <x:mergeCell ref="H18:L18"/>
    <x:mergeCell ref="A28:L28"/>
    <x:mergeCell ref="A37:L37"/>
    <x:mergeCell ref="A38:B38"/>
    <x:mergeCell ref="C38:L38"/>
    <x:mergeCell ref="A39:B39"/>
    <x:mergeCell ref="C39:L39"/>
    <x:mergeCell ref="A40:B40"/>
    <x:mergeCell ref="C40:L40"/>
    <x:mergeCell ref="A41:B41"/>
    <x:mergeCell ref="C41:L41"/>
    <x:mergeCell ref="A42:B42"/>
    <x:mergeCell ref="C42:L42"/>
    <x:mergeCell ref="A43:B43"/>
    <x:mergeCell ref="C43:L43"/>
    <x:mergeCell ref="A44:B44"/>
    <x:mergeCell ref="C44:L44"/>
    <x:mergeCell ref="A29:L34"/>
    <x:mergeCell ref="A66:L66"/>
    <x:mergeCell ref="A75:L75"/>
    <x:mergeCell ref="U1:X1"/>
    <x:mergeCell ref="V2:X2"/>
    <x:mergeCell ref="V3:X3"/>
    <x:mergeCell ref="V4:X4"/>
    <x:mergeCell ref="V5:X5"/>
    <x:mergeCell ref="V6:X6"/>
    <x:mergeCell ref="V7:X7"/>
    <x:mergeCell ref="A4:L4"/>
    <x:mergeCell ref="A29:L29"/>
    <x:mergeCell ref="A38:L38"/>
    <x:mergeCell ref="A39:L39"/>
    <x:mergeCell ref="A40:L40"/>
    <x:mergeCell ref="A83:L84"/>
  </x:mergeCells>
  <x:pageMargins left="0.7" right="0.7" top="0.75" bottom="0.75" header="0.3" footer="0.3"/>
  <x:drawing xmlns:r="http://schemas.openxmlformats.org/officeDocument/2006/relationships" r:id="R89af690784ca4121"/>
</x:worksheet>
</file>

<file path=xl/worksheets/sheet4.xml><?xml version="1.0" encoding="utf-8"?>
<x:worksheet xmlns:x="http://schemas.openxmlformats.org/spreadsheetml/2006/main">
  <x:sheetViews>
    <x:sheetView showGridLines="0" workbookViewId="0"/>
  </x:sheetViews>
  <x:sheetFormatPr defaultRowHeight="15"/>
  <x:cols>
    <x:col min="1" max="1" width="24" hidden="0" customWidth="1"/>
    <x:col min="2" max="2" width="24" hidden="0" customWidth="1"/>
    <x:col min="3" max="3" width="50" hidden="0" customWidth="1"/>
    <x:col min="4" max="4" width="30" hidden="0" customWidth="1"/>
    <x:col min="5" max="5" width="30" hidden="0" customWidth="1"/>
    <x:col min="6" max="6" width="25" hidden="0" customWidth="1"/>
    <x:col min="7" max="7" width="31" hidden="0" customWidth="1"/>
    <x:col min="8" max="8" width="34" hidden="0" customWidth="1"/>
    <x:col min="9" max="9" width="34" hidden="0" customWidth="1"/>
    <x:col min="10" max="10" width="34" hidden="0" customWidth="1"/>
  </x:cols>
  <x:sheetData>
    <x:row r="1">
      <x:c r="A1" s="1147" t="str">
        <x:v>How to Read This Model</x:v>
      </x:c>
      <x:c r="B1" s="1147"/>
      <x:c r="C1" s="1147"/>
      <x:c r="D1" s="1147"/>
      <x:c r="E1" s="1147"/>
      <x:c r="F1" s="1147"/>
      <x:c r="G1" s="1147"/>
      <x:c r="H1" s="1147"/>
      <x:c r="I1" s="1147"/>
      <x:c r="J1" s="1147"/>
    </x:row>
    <x:row r="2">
      <x:c r="A2" s="1140" t="str">
        <x:v>Logical flow: inputs and assumptions → detailed calculations → scenario outputs → interpretation → stage-gate decision.</x:v>
      </x:c>
      <x:c r="B2" s="1140"/>
      <x:c r="C2" s="1140"/>
      <x:c r="D2" s="1140"/>
      <x:c r="E2" s="1140"/>
      <x:c r="F2" s="1140"/>
      <x:c r="G2" s="1140"/>
      <x:c r="H2" s="1140"/>
      <x:c r="I2" s="1140"/>
      <x:c r="J2" s="1140"/>
    </x:row>
    <x:row r="3">
      <x:c r="A3" s="26"/>
      <x:c r="B3" s="26"/>
      <x:c r="C3" s="26"/>
      <x:c r="D3" s="26"/>
      <x:c r="E3" s="26"/>
      <x:c r="F3" s="26"/>
      <x:c r="G3" s="26"/>
      <x:c r="H3" s="26"/>
      <x:c r="I3" s="26"/>
      <x:c r="J3" s="26"/>
    </x:row>
    <x:row r="4">
      <x:c r="A4" s="1138" t="str">
        <x:v>MODEL FLOW</x:v>
      </x:c>
      <x:c r="B4" s="1138" t="str">
        <x:v>What happens here?</x:v>
      </x:c>
      <x:c r="C4" s="1138" t="str">
        <x:v>Main sheets</x:v>
      </x:c>
      <x:c r="D4" s="1138" t="str">
        <x:v>Reader question</x:v>
      </x:c>
      <x:c r="E4" s="1138" t="str">
        <x:v>Control</x:v>
      </x:c>
      <x:c r="F4" s="26"/>
      <x:c r="G4" s="1138" t="str">
        <x:v>CELL TYPES</x:v>
      </x:c>
      <x:c r="H4" s="1138" t="str">
        <x:v>Meaning</x:v>
      </x:c>
      <x:c r="I4" s="1138" t="str">
        <x:v>What the reader should do</x:v>
      </x:c>
      <x:c r="J4" s="1138" t="str">
        <x:v>Example</x:v>
      </x:c>
    </x:row>
    <x:row r="5">
      <x:c r="A5" s="26" t="str">
        <x:v>1. Inputs and assumptions</x:v>
      </x:c>
      <x:c r="B5" s="26" t="str">
        <x:v>Sourced values, policy settings and scenario assumptions enter the model.</x:v>
      </x:c>
      <x:c r="C5" s="26" t="str">
        <x:v>Assumptions; Source Register</x:v>
      </x:c>
      <x:c r="D5" s="26" t="str">
        <x:v>What can change and how strong is the evidence?</x:v>
      </x:c>
      <x:c r="E5" s="26" t="str">
        <x:v>Blue does not mean proven; read the evidence label.</x:v>
      </x:c>
      <x:c r="F5" s="26"/>
      <x:c r="G5" s="26" t="str">
        <x:v>HARDCODED INPUT</x:v>
      </x:c>
      <x:c r="H5" s="26" t="str">
        <x:v>Number entered rather than calculated.</x:v>
      </x:c>
      <x:c r="I5" s="26" t="str">
        <x:v>Check source, unit, evidence status and range.</x:v>
      </x:c>
      <x:c r="J5" s="26" t="str">
        <x:v>Assumptions E134</x:v>
      </x:c>
    </x:row>
    <x:row r="6">
      <x:c r="A6" s="26" t="str">
        <x:v>2. Detailed calculations</x:v>
      </x:c>
      <x:c r="B6" s="26" t="str">
        <x:v>Costs, payments, accounts, cohorts and earnings are calculated.</x:v>
      </x:c>
      <x:c r="C6" s="26" t="str">
        <x:v>Stage sheets; Learning Capital; Cohort Bridge; Human Capital</x:v>
      </x:c>
      <x:c r="D6" s="26" t="str">
        <x:v>How was the number built?</x:v>
      </x:c>
      <x:c r="E6" s="26" t="str">
        <x:v>Trace formulas and Metric IDs.</x:v>
      </x:c>
      <x:c r="F6" s="26"/>
      <x:c r="G6" s="26" t="str">
        <x:v>SOURCED INPUT</x:v>
      </x:c>
      <x:c r="H6" s="26" t="str">
        <x:v>Hardcoded value anchored to an external source.</x:v>
      </x:c>
      <x:c r="I6" s="26" t="str">
        <x:v>Trace Source ID and date.</x:v>
      </x:c>
      <x:c r="J6" s="26" t="str">
        <x:v>Tax rate or CPI</x:v>
      </x:c>
    </x:row>
    <x:row r="7">
      <x:c r="A7" s="26" t="str">
        <x:v>3. Scenario outputs</x:v>
      </x:c>
      <x:c r="B7" s="26" t="str">
        <x:v>Low, central, high and structural scenarios are compared.</x:v>
      </x:c>
      <x:c r="C7" s="26" t="str">
        <x:v>Delivery Scenarios; Benefits &amp; BCR</x:v>
      </x:c>
      <x:c r="D7" s="26" t="str">
        <x:v>What changes under another design or assumption?</x:v>
      </x:c>
      <x:c r="E7" s="26" t="str">
        <x:v>A sensitivity is not a prediction.</x:v>
      </x:c>
      <x:c r="F7" s="26"/>
      <x:c r="G7" s="26" t="str">
        <x:v>FORMULA</x:v>
      </x:c>
      <x:c r="H7" s="26" t="str">
        <x:v>Calculation within the same sheet.</x:v>
      </x:c>
      <x:c r="I7" s="26" t="str">
        <x:v>Read formula in words before inspecting Excel syntax.</x:v>
      </x:c>
      <x:c r="J7" s="26" t="str">
        <x:v>Stage 0 total</x:v>
      </x:c>
    </x:row>
    <x:row r="8">
      <x:c r="A8" s="26" t="str">
        <x:v>4. Interpretation</x:v>
      </x:c>
      <x:c r="B8" s="26" t="str">
        <x:v>Participant, Crown and national perspectives are separated.</x:v>
      </x:c>
      <x:c r="C8" s="26" t="str">
        <x:v>Executive Summary; Benefits &amp; BCR</x:v>
      </x:c>
      <x:c r="D8" s="26" t="str">
        <x:v>Whose benefit or cost is this?</x:v>
      </x:c>
      <x:c r="E8" s="26" t="str">
        <x:v>Never treat social value as Crown cash.</x:v>
      </x:c>
      <x:c r="F8" s="26"/>
      <x:c r="G8" s="26" t="str">
        <x:v>CROSS-SHEET LINK</x:v>
      </x:c>
      <x:c r="H8" s="26" t="str">
        <x:v>Formula pulling from another sheet.</x:v>
      </x:c>
      <x:c r="I8" s="26" t="str">
        <x:v>Follow the source sheet and avoid overriding it.</x:v>
      </x:c>
      <x:c r="J8" s="26" t="str">
        <x:v>Executive Summary cost</x:v>
      </x:c>
    </x:row>
    <x:row r="9">
      <x:c r="A9" s="26" t="str">
        <x:v>5. Stage-gate decision</x:v>
      </x:c>
      <x:c r="B9" s="26" t="str">
        <x:v>Evidence thresholds determine proceed, redesign, narrow, delay or stop.</x:v>
      </x:c>
      <x:c r="C9" s="26" t="str">
        <x:v>Stage-Gate Tests; Validation Log</x:v>
      </x:c>
      <x:c r="D9" s="26" t="str">
        <x:v>What must be proven before the next stage?</x:v>
      </x:c>
      <x:c r="E9" s="26" t="str">
        <x:v>Each stage must earn the right to proceed.</x:v>
      </x:c>
      <x:c r="F9" s="26"/>
      <x:c r="G9" s="26" t="str">
        <x:v>SCENARIO CONTROL</x:v>
      </x:c>
      <x:c r="H9" s="26" t="str">
        <x:v>Input deliberately varied to test uncertainty.</x:v>
      </x:c>
      <x:c r="I9" s="26" t="str">
        <x:v>Do not call it a measured effect.</x:v>
      </x:c>
      <x:c r="J9" s="26" t="str">
        <x:v>Attribution factor</x:v>
      </x:c>
    </x:row>
    <x:row r="10">
      <x:c r="A10" s="26"/>
      <x:c r="B10" s="26"/>
      <x:c r="C10" s="26"/>
      <x:c r="D10" s="26"/>
      <x:c r="E10" s="26"/>
      <x:c r="F10" s="26"/>
      <x:c r="G10" s="26" t="str">
        <x:v>MODEL OUTPUT</x:v>
      </x:c>
      <x:c r="H10" s="26" t="str">
        <x:v>Calculated result used for interpretation.</x:v>
      </x:c>
      <x:c r="I10" s="26" t="str">
        <x:v>Check perspective, time and evidence status.</x:v>
      </x:c>
      <x:c r="J10" s="26" t="str">
        <x:v>Social BCR</x:v>
      </x:c>
    </x:row>
    <x:row r="11">
      <x:c r="A11" s="1138" t="str">
        <x:v>TRACE A NUMBER</x:v>
      </x:c>
      <x:c r="B11" s="1138" t="str">
        <x:v>Recommended path</x:v>
      </x:c>
      <x:c r="C11" s="1138" t="str">
        <x:v>Example</x:v>
      </x:c>
      <x:c r="D11" s="1138" t="str">
        <x:v>Reason</x:v>
      </x:c>
      <x:c r="E11" s="1138" t="str">
        <x:v>Warning</x:v>
      </x:c>
      <x:c r="F11" s="26"/>
      <x:c r="G11" s="26" t="str">
        <x:v>WARNING</x:v>
      </x:c>
      <x:c r="H11" s="26" t="str">
        <x:v>Visible caution about interpretation or evidence.</x:v>
      </x:c>
      <x:c r="I11" s="26" t="str">
        <x:v>Resolve before quoting publicly.</x:v>
      </x:c>
      <x:c r="J11" s="26" t="str">
        <x:v>Core+targeted retained effect</x:v>
      </x:c>
    </x:row>
    <x:row r="12">
      <x:c r="A12" s="26" t="str">
        <x:v>Start at the output</x:v>
      </x:c>
      <x:c r="B12" s="26" t="str">
        <x:v>Executive Summary or Benefits &amp; BCR</x:v>
      </x:c>
      <x:c r="C12" s="26" t="str">
        <x:v>BCR at 1% uplift</x:v>
      </x:c>
      <x:c r="D12" s="26" t="str">
        <x:v>Identify perspective, unit and time period.</x:v>
      </x:c>
      <x:c r="E12" s="26" t="str">
        <x:v>Do not interpret the number alone.</x:v>
      </x:c>
      <x:c r="F12" s="26"/>
      <x:c r="G12" s="26" t="str">
        <x:v>VALIDATION ITEM</x:v>
      </x:c>
      <x:c r="H12" s="26" t="str">
        <x:v>Evidence or design question still open.</x:v>
      </x:c>
      <x:c r="I12" s="26" t="str">
        <x:v>Assign owner and close at the correct stage.</x:v>
      </x:c>
      <x:c r="J12" s="26" t="str">
        <x:v>Exact eligible cohort</x:v>
      </x:c>
    </x:row>
    <x:row r="13">
      <x:c r="A13" s="26" t="str">
        <x:v>Open the calculation sheet</x:v>
      </x:c>
      <x:c r="B13" s="26" t="str">
        <x:v>Human Capital &amp; Earnings</x:v>
      </x:c>
      <x:c r="C13" s="26" t="str">
        <x:v>J99 / O99</x:v>
      </x:c>
      <x:c r="D13" s="26" t="str">
        <x:v>See numerator, denominator and discount rate.</x:v>
      </x:c>
      <x:c r="E13" s="26" t="str">
        <x:v>Full-expenditure and transfer-adjusted denominators differ.</x:v>
      </x:c>
      <x:c r="F13" s="26"/>
      <x:c r="G13" s="26"/>
      <x:c r="H13" s="26"/>
      <x:c r="I13" s="26"/>
      <x:c r="J13" s="26"/>
    </x:row>
    <x:row r="14">
      <x:c r="A14" s="26" t="str">
        <x:v>Open Assumptions and Source Register</x:v>
      </x:c>
      <x:c r="B14" s="26" t="str">
        <x:v>Assumptions; Source Register</x:v>
      </x:c>
      <x:c r="C14" s="26" t="str">
        <x:v>Affected share, attribution, persistence</x:v>
      </x:c>
      <x:c r="D14" s="26" t="str">
        <x:v>Separate sourced data from scenario assumptions.</x:v>
      </x:c>
      <x:c r="E14" s="26" t="str">
        <x:v>Calculated precision is not evidence certainty.</x:v>
      </x:c>
      <x:c r="F14" s="26"/>
      <x:c r="G14" s="26"/>
      <x:c r="H14" s="26"/>
      <x:c r="I14" s="26"/>
      <x:c r="J14" s="26"/>
    </x:row>
    <x:row r="15">
      <x:c r="A15" s="1139" t="str">
        <x:v>Numbers that look similar but are not the same</x:v>
      </x:c>
      <x:c r="B15" s="1139"/>
      <x:c r="C15" s="1139"/>
      <x:c r="D15" s="1139"/>
      <x:c r="E15" s="26"/>
      <x:c r="F15" s="1139" t="str">
        <x:v>BCR, ROI AND FISCAL COVERAGE</x:v>
      </x:c>
      <x:c r="G15" s="1139"/>
      <x:c r="H15" s="1139"/>
      <x:c r="I15" s="1139"/>
      <x:c r="J15" s="1139"/>
    </x:row>
    <x:row r="16">
      <x:c r="A16" s="1138" t="str">
        <x:v>First term</x:v>
      </x:c>
      <x:c r="B16" s="1138" t="str">
        <x:v>Second term</x:v>
      </x:c>
      <x:c r="C16" s="1138" t="str">
        <x:v>Difference</x:v>
      </x:c>
      <x:c r="D16" s="1138" t="str">
        <x:v>Where to look</x:v>
      </x:c>
      <x:c r="E16" s="26"/>
      <x:c r="F16" s="1138" t="str">
        <x:v>Measure</x:v>
      </x:c>
      <x:c r="G16" s="1138" t="str">
        <x:v>Formula</x:v>
      </x:c>
      <x:c r="H16" s="1138" t="str">
        <x:v>How to read it</x:v>
      </x:c>
      <x:c r="I16" s="1138" t="str">
        <x:v>Current model use</x:v>
      </x:c>
      <x:c r="J16" s="1138" t="str">
        <x:v>Critical warning</x:v>
      </x:c>
    </x:row>
    <x:row r="17">
      <x:c r="A17" s="26" t="str">
        <x:v>Annual cost</x:v>
      </x:c>
      <x:c r="B17" s="26" t="str">
        <x:v>Lifetime cost</x:v>
      </x:c>
      <x:c r="C17" s="26" t="str">
        <x:v>One year's cash versus all years or lifetime effects.</x:v>
      </x:c>
      <x:c r="D17" s="26" t="str">
        <x:v>Glossary &amp; Key Concepts</x:v>
      </x:c>
      <x:c r="E17" s="26"/>
      <x:c r="F17" s="26" t="str">
        <x:v>Benefit-cost ratio</x:v>
      </x:c>
      <x:c r="G17" s="26" t="str">
        <x:v>PV included benefits ÷ PV included costs</x:v>
      </x:c>
      <x:c r="H17" s="26" t="str">
        <x:v>&lt;1: gap; =1: break-even; &gt;1: included benefits exceed included costs.</x:v>
      </x:c>
      <x:c r="I17" s="26" t="str">
        <x:v>Full-expenditure and transfer-adjusted social views.</x:v>
      </x:c>
      <x:c r="J17" s="26" t="str">
        <x:v>Not Crown cash return.</x:v>
      </x:c>
    </x:row>
    <x:row r="18">
      <x:c r="A18" s="26" t="str">
        <x:v>Nominal value</x:v>
      </x:c>
      <x:c r="B18" s="26" t="str">
        <x:v>Real value</x:v>
      </x:c>
      <x:c r="C18" s="26" t="str">
        <x:v>Money amount at the time versus constant purchasing power.</x:v>
      </x:c>
      <x:c r="D18" s="26" t="str">
        <x:v>Glossary &amp; Key Concepts</x:v>
      </x:c>
      <x:c r="E18" s="26"/>
      <x:c r="F18" s="26" t="str">
        <x:v>Return on investment</x:v>
      </x:c>
      <x:c r="G18" s="26" t="str">
        <x:v>(Benefit − cost) ÷ cost</x:v>
      </x:c>
      <x:c r="H18" s="26" t="str">
        <x:v>Use only with a defined perspective, numerator and denominator.</x:v>
      </x:c>
      <x:c r="I18" s="26" t="str">
        <x:v>Participant/investment contexts only where defined.</x:v>
      </x:c>
      <x:c r="J18" s="26" t="str">
        <x:v>Do not use ROI as a loose synonym for BCR.</x:v>
      </x:c>
    </x:row>
    <x:row r="19">
      <x:c r="A19" s="26" t="str">
        <x:v>Current dollars</x:v>
      </x:c>
      <x:c r="B19" s="26" t="str">
        <x:v>Present value</x:v>
      </x:c>
      <x:c r="C19" s="26" t="str">
        <x:v>Base-year amount versus discounted value today.</x:v>
      </x:c>
      <x:c r="D19" s="26" t="str">
        <x:v>Glossary &amp; Key Concepts</x:v>
      </x:c>
      <x:c r="E19" s="26"/>
      <x:c r="F19" s="26" t="str">
        <x:v>Crown fiscal coverage</x:v>
      </x:c>
      <x:c r="G19" s="26" t="str">
        <x:v>Valid Crown fiscal offsets ÷ full Crown expenditure</x:v>
      </x:c>
      <x:c r="H19" s="26" t="str">
        <x:v>100% means estimated fiscal offsets equal expenditure.</x:v>
      </x:c>
      <x:c r="I19" s="26" t="str">
        <x:v>Tax, ACC, benefits and valid loan offsets.</x:v>
      </x:c>
      <x:c r="J19" s="26" t="str">
        <x:v>Excludes many participant and social benefits.</x:v>
      </x:c>
    </x:row>
    <x:row r="20">
      <x:c r="A20" s="26" t="str">
        <x:v>Gross benefit</x:v>
      </x:c>
      <x:c r="B20" s="26" t="str">
        <x:v>Net benefit</x:v>
      </x:c>
      <x:c r="C20" s="26" t="str">
        <x:v>Benefit before costs versus benefit minus costs.</x:v>
      </x:c>
      <x:c r="D20" s="26" t="str">
        <x:v>Glossary &amp; Key Concepts</x:v>
      </x:c>
      <x:c r="E20" s="26"/>
      <x:c r="F20" s="26" t="str">
        <x:v>Net Crown fiscal cost</x:v>
      </x:c>
      <x:c r="G20" s="26" t="str">
        <x:v>Full Crown expenditure − valid Crown fiscal offsets</x:v>
      </x:c>
      <x:c r="H20" s="26" t="str">
        <x:v>Positive value means a residual Crown cost remains.</x:v>
      </x:c>
      <x:c r="I20" s="26" t="str">
        <x:v>Affordability assessment.</x:v>
      </x:c>
      <x:c r="J20" s="26" t="str">
        <x:v>Do not subtract non-cash social benefits.</x:v>
      </x:c>
    </x:row>
    <x:row r="21">
      <x:c r="A21" s="26" t="str">
        <x:v>Social benefit</x:v>
      </x:c>
      <x:c r="B21" s="26" t="str">
        <x:v>Crown saving</x:v>
      </x:c>
      <x:c r="C21" s="26" t="str">
        <x:v>National value versus public revenue/expenditure effect.</x:v>
      </x:c>
      <x:c r="D21" s="26" t="str">
        <x:v>Glossary &amp; Key Concepts</x:v>
      </x:c>
      <x:c r="E21" s="26"/>
      <x:c r="F21" s="26" t="str">
        <x:v>Social net benefit</x:v>
      </x:c>
      <x:c r="G21" s="26" t="str">
        <x:v>PV social benefits − PV economic costs</x:v>
      </x:c>
      <x:c r="H21" s="26" t="str">
        <x:v>Positive means included national value exceeds included economic cost.</x:v>
      </x:c>
      <x:c r="I21" s="26" t="str">
        <x:v>National social CBA.</x:v>
      </x:c>
      <x:c r="J21" s="26" t="str">
        <x:v>May differ from Crown fiscal conclusion without contradiction.</x:v>
      </x:c>
    </x:row>
    <x:row r="22">
      <x:c r="A22" s="26" t="str">
        <x:v>Appropriation</x:v>
      </x:c>
      <x:c r="B22" s="26" t="str">
        <x:v>Economic resource cost</x:v>
      </x:c>
      <x:c r="C22" s="26" t="str">
        <x:v>Cash authority versus national opportunity cost.</x:v>
      </x:c>
      <x:c r="D22" s="26" t="str">
        <x:v>Glossary &amp; Key Concepts</x:v>
      </x:c>
      <x:c r="E22" s="26"/>
      <x:c r="F22" s="26"/>
      <x:c r="G22" s="26"/>
      <x:c r="H22" s="26"/>
      <x:c r="I22" s="26"/>
      <x:c r="J22" s="26"/>
    </x:row>
    <x:row r="23">
      <x:c r="A23" s="26" t="str">
        <x:v>Loan principal avoided</x:v>
      </x:c>
      <x:c r="B23" s="26" t="str">
        <x:v>Fair-value cost avoided</x:v>
      </x:c>
      <x:c r="C23" s="26" t="str">
        <x:v>Gross lending cash flow versus expected Crown lifetime cost.</x:v>
      </x:c>
      <x:c r="D23" s="26" t="str">
        <x:v>Glossary &amp; Key Concepts</x:v>
      </x:c>
      <x:c r="E23" s="26"/>
      <x:c r="F23" s="1139" t="str">
        <x:v>PRESENT VALUE AND DISCOUNTING</x:v>
      </x:c>
      <x:c r="G23" s="1139"/>
      <x:c r="H23" s="1139"/>
      <x:c r="I23" s="1139"/>
      <x:c r="J23" s="1139"/>
    </x:row>
    <x:row r="24">
      <x:c r="A24" s="26" t="str">
        <x:v>Account balance</x:v>
      </x:c>
      <x:c r="B24" s="26" t="str">
        <x:v>Debt avoided</x:v>
      </x:c>
      <x:c r="C24" s="26" t="str">
        <x:v>The same protected resource versus a liability it may replace.</x:v>
      </x:c>
      <x:c r="D24" s="26" t="str">
        <x:v>Glossary &amp; Key Concepts</x:v>
      </x:c>
      <x:c r="E24" s="26"/>
      <x:c r="F24" s="1138" t="str">
        <x:v>Concept</x:v>
      </x:c>
      <x:c r="G24" s="1138" t="str">
        <x:v>Formula / example</x:v>
      </x:c>
      <x:c r="H24" s="1138" t="str">
        <x:v>Why it matters</x:v>
      </x:c>
      <x:c r="I24" s="1138" t="str">
        <x:v>Workbook application</x:v>
      </x:c>
      <x:c r="J24" s="1138" t="str">
        <x:v>Ethical clarification</x:v>
      </x:c>
    </x:row>
    <x:row r="25">
      <x:c r="A25" s="26" t="str">
        <x:v>BCR</x:v>
      </x:c>
      <x:c r="B25" s="26" t="str">
        <x:v>ROI</x:v>
      </x:c>
      <x:c r="C25" s="26" t="str">
        <x:v>Benefit/cost ratio versus net benefit/cost; define perspective.</x:v>
      </x:c>
      <x:c r="D25" s="26" t="str">
        <x:v>Glossary &amp; Key Concepts</x:v>
      </x:c>
      <x:c r="E25" s="26"/>
      <x:c r="F25" s="26" t="str">
        <x:v>Present value</x:v>
      </x:c>
      <x:c r="G25" s="26" t="str">
        <x:v>Future value ÷ (1 + rate)^years</x:v>
      </x:c>
      <x:c r="H25" s="26" t="str">
        <x:v>Makes values at different dates comparable.</x:v>
      </x:c>
      <x:c r="I25" s="26" t="str">
        <x:v>Lifetime earnings, loan effects and later benefits.</x:v>
      </x:c>
      <x:c r="J25" s="26" t="str">
        <x:v>It does not mean future young people matter less.</x:v>
      </x:c>
    </x:row>
    <x:row r="26">
      <x:c r="A26" s="26" t="str">
        <x:v>Fiscal coverage</x:v>
      </x:c>
      <x:c r="B26" s="26" t="str">
        <x:v>Financial break-even</x:v>
      </x:c>
      <x:c r="C26" s="26" t="str">
        <x:v>Offsets as share of expenditure versus the point at which offsets equal expenditure.</x:v>
      </x:c>
      <x:c r="D26" s="26" t="str">
        <x:v>Glossary &amp; Key Concepts</x:v>
      </x:c>
      <x:c r="E26" s="26"/>
      <x:c r="F26" s="26" t="str">
        <x:v>Example at 2%</x:v>
      </x:c>
      <x:c r="G26" s="26" t="str">
        <x:v>$100 in 10 years ÷ 1.02^10 = about $82</x:v>
      </x:c>
      <x:c r="H26" s="26" t="str">
        <x:v>Later money has a lower present value.</x:v>
      </x:c>
      <x:c r="I26" s="26" t="str">
        <x:v>2% Treasury-aligned social case.</x:v>
      </x:c>
      <x:c r="J26" s="26" t="str">
        <x:v>A comparison method, not a moral ranking.</x:v>
      </x:c>
    </x:row>
    <x:row r="27">
      <x:c r="A27" s="26" t="str">
        <x:v>Affected-population uplift</x:v>
      </x:c>
      <x:c r="B27" s="26" t="str">
        <x:v>Cohort-equivalent uplift</x:v>
      </x:c>
      <x:c r="C27" s="26" t="str">
        <x:v>Uplift for the modelled affected group versus value-equivalent average across a broader cohort.</x:v>
      </x:c>
      <x:c r="D27" s="26" t="str">
        <x:v>Glossary &amp; Key Concepts</x:v>
      </x:c>
      <x:c r="E27" s="26"/>
      <x:c r="F27" s="26" t="str">
        <x:v>Example at 4%</x:v>
      </x:c>
      <x:c r="G27" s="26" t="str">
        <x:v>$100 in 10 years ÷ 1.04^10 = about $68</x:v>
      </x:c>
      <x:c r="H27" s="26" t="str">
        <x:v>Higher rate reduces long-lived benefit more.</x:v>
      </x:c>
      <x:c r="I27" s="26" t="str">
        <x:v>Intermediate analytical sensitivity.</x:v>
      </x:c>
      <x:c r="J27" s="26" t="str">
        <x:v>Intermediate analytical sensitivity only.</x:v>
      </x:c>
    </x:row>
    <x:row r="28">
      <x:c r="A28" s="26" t="str">
        <x:v>Evidence-based result</x:v>
      </x:c>
      <x:c r="B28" s="26" t="str">
        <x:v>Illustrative sensitivity</x:v>
      </x:c>
      <x:c r="C28" s="26" t="str">
        <x:v>Supported central inclusion versus a conditional test.</x:v>
      </x:c>
      <x:c r="D28" s="26" t="str">
        <x:v>Glossary &amp; Key Concepts</x:v>
      </x:c>
      <x:c r="E28" s="26"/>
      <x:c r="F28" s="26" t="str">
        <x:v>Example at 8%</x:v>
      </x:c>
      <x:c r="G28" s="26" t="str">
        <x:v>$100 in 10 years ÷ 1.08^10 = about $46</x:v>
      </x:c>
      <x:c r="H28" s="26" t="str">
        <x:v>High sensitivity heavily discounts later value.</x:v>
      </x:c>
      <x:c r="I28" s="26" t="str">
        <x:v>High / mandatory sensitivity.</x:v>
      </x:c>
      <x:c r="J28" s="26" t="str">
        <x:v>Retained to show robustness.</x:v>
      </x:c>
    </x:row>
    <x:row r="29">
      <x:c r="A29" s="26"/>
      <x:c r="B29" s="26"/>
      <x:c r="C29" s="26"/>
      <x:c r="D29" s="26"/>
      <x:c r="E29" s="26"/>
      <x:c r="F29" s="26" t="str">
        <x:v>Nominal to real</x:v>
      </x:c>
      <x:c r="G29" s="26" t="str">
        <x:v>Real value = nominal value ÷ cumulative inflation factor</x:v>
      </x:c>
      <x:c r="H29" s="26" t="str">
        <x:v>Shows purchasing power rather than face value.</x:v>
      </x:c>
      <x:c r="I29" s="26" t="str">
        <x:v>Learning Capital nominal and real balances.</x:v>
      </x:c>
      <x:c r="J29" s="26" t="str">
        <x:v>Inflation, fair value and cost of capital must not be stacked when overlapping.</x:v>
      </x:c>
    </x:row>
    <x:row r="30">
      <x:c r="A30" s="26"/>
      <x:c r="B30" s="26"/>
      <x:c r="C30" s="26"/>
      <x:c r="D30" s="26"/>
      <x:c r="E30" s="26"/>
      <x:c r="F30" s="26"/>
      <x:c r="G30" s="26"/>
      <x:c r="H30" s="26"/>
      <x:c r="I30" s="26"/>
      <x:c r="J30" s="26"/>
    </x:row>
    <x:row r="31">
      <x:c r="A31" s="26" t="str">
        <x:v>Return to: Start Here — Guided Tour</x:v>
      </x:c>
      <x:c r="B31" s="26"/>
      <x:c r="C31" s="26"/>
      <x:c r="D31" s="26"/>
      <x:c r="E31" s="26"/>
      <x:c r="F31" s="26"/>
      <x:c r="G31" s="26"/>
      <x:c r="H31" s="26"/>
      <x:c r="I31" s="26"/>
      <x:c r="J31" s="26"/>
    </x:row>
  </x:sheetData>
  <x:mergeCells>
    <x:mergeCell ref="A1:J1"/>
    <x:mergeCell ref="A2:J2"/>
    <x:mergeCell ref="A15:D15"/>
    <x:mergeCell ref="F15:J15"/>
    <x:mergeCell ref="F23:J23"/>
    <x:mergeCell ref="A31:C31"/>
  </x:mergeCells>
  <x:pageMargins left="0.7" right="0.7" top="0.75" bottom="0.75" header="0.3" footer="0.3"/>
</x:worksheet>
</file>

<file path=xl/worksheets/sheet5.xml><?xml version="1.0" encoding="utf-8"?>
<x:worksheet xmlns:x="http://schemas.openxmlformats.org/spreadsheetml/2006/main">
  <x:sheetViews>
    <x:sheetView showGridLines="0" workbookViewId="0"/>
  </x:sheetViews>
  <x:sheetFormatPr defaultRowHeight="15"/>
  <x:cols>
    <x:col min="1" max="1" width="48" hidden="0" customWidth="1"/>
    <x:col min="2" max="2" width="48" hidden="0" customWidth="1"/>
    <x:col min="3" max="3" width="42" hidden="0" customWidth="1"/>
    <x:col min="4" max="4" width="28" hidden="0" customWidth="1"/>
  </x:cols>
  <x:sheetData>
    <x:row r="1">
      <x:c r="A1" s="1146" t="str">
        <x:v>Common Misinterpretations</x:v>
      </x:c>
      <x:c r="B1" s="1146"/>
      <x:c r="C1" s="1146"/>
      <x:c r="D1" s="1146"/>
    </x:row>
    <x:row r="2">
      <x:c r="A2" s="1142" t="str">
        <x:v>Read the correction beside each tempting but incorrect statement before quoting the workbook.</x:v>
      </x:c>
      <x:c r="B2" s="1142"/>
      <x:c r="C2" s="1142"/>
      <x:c r="D2" s="1142"/>
    </x:row>
    <x:row r="4">
      <x:c r="A4" s="1138" t="str">
        <x:v>Incorrect interpretation</x:v>
      </x:c>
      <x:c r="B4" s="1138" t="str">
        <x:v>Correct interpretation</x:v>
      </x:c>
      <x:c r="C4" s="1138" t="str">
        <x:v>Why the mistake matters</x:v>
      </x:c>
      <x:c r="D4" s="1138" t="str">
        <x:v>Relevant sheet</x:v>
      </x:c>
    </x:row>
    <x:row r="5">
      <x:c r="A5" s="26" t="str">
        <x:v>The BCR is the Government's cash return.</x:v>
      </x:c>
      <x:c r="B5" s="26" t="str">
        <x:v>A social BCR compares included national benefits and costs; fiscal coverage answers the Crown cash question.</x:v>
      </x:c>
      <x:c r="C5" s="26" t="str">
        <x:v>It can falsely imply self-funding.</x:v>
      </x:c>
      <x:c r="D5" s="26" t="str">
        <x:v>Benefits &amp; BCR</x:v>
      </x:c>
    </x:row>
    <x:row r="6">
      <x:c r="A6" s="26" t="str">
        <x:v>A social benefit is money available to fund the programme.</x:v>
      </x:c>
      <x:c r="B6" s="26" t="str">
        <x:v>Social value may accrue to participants or society without becoming Crown cash.</x:v>
      </x:c>
      <x:c r="C6" s="26" t="str">
        <x:v>It confuses value for money with affordability.</x:v>
      </x:c>
      <x:c r="D6" s="26" t="str">
        <x:v>Executive Summary</x:v>
      </x:c>
    </x:row>
    <x:row r="7">
      <x:c r="A7" s="26" t="str">
        <x:v>The full loan principal avoided is a Crown saving.</x:v>
      </x:c>
      <x:c r="B7" s="26" t="str">
        <x:v>The official fair-value cost avoided is the central net Crown measure; repayments are also forgone.</x:v>
      </x:c>
      <x:c r="C7" s="26" t="str">
        <x:v>It can overstate fiscal savings by several times.</x:v>
      </x:c>
      <x:c r="D7" s="26" t="str">
        <x:v>Cohort Bridge</x:v>
      </x:c>
    </x:row>
    <x:row r="8">
      <x:c r="A8" s="26" t="str">
        <x:v>The account balance and debt avoided can be added together.</x:v>
      </x:c>
      <x:c r="B8" s="26" t="str">
        <x:v>Debt avoided is one possible use/effect of the same account resource.</x:v>
      </x:c>
      <x:c r="C8" s="26" t="str">
        <x:v>It double counts participant value.</x:v>
      </x:c>
      <x:c r="D8" s="26" t="str">
        <x:v>Learning Capital &amp; ROI</x:v>
      </x:c>
    </x:row>
    <x:row r="9">
      <x:c r="A9" s="26" t="str">
        <x:v>A sensitivity is a forecast.</x:v>
      </x:c>
      <x:c r="B9" s="26" t="str">
        <x:v>A sensitivity is a conditional recalculation under an assumed input.</x:v>
      </x:c>
      <x:c r="C9" s="26" t="str">
        <x:v>It disguises uncertainty as probability.</x:v>
      </x:c>
      <x:c r="D9" s="26" t="str">
        <x:v>Human Capital &amp; Earnings</x:v>
      </x:c>
    </x:row>
    <x:row r="10">
      <x:c r="A10" s="26" t="str">
        <x:v>The stated earnings uplift applies to every student.</x:v>
      </x:c>
      <x:c r="B10" s="26" t="str">
        <x:v>It applies to the effective affected employed population unless explicitly labelled cohort-equivalent.</x:v>
      </x:c>
      <x:c r="C10" s="26" t="str">
        <x:v>It materially overstates the population effect.</x:v>
      </x:c>
      <x:c r="D10" s="26" t="str">
        <x:v>Earnings Uplift Bridge</x:v>
      </x:c>
    </x:row>
    <x:row r="11">
      <x:c r="A11" s="26" t="str">
        <x:v>A 2% discount rate means inflation is assumed to be 2%.</x:v>
      </x:c>
      <x:c r="B11" s="26" t="str">
        <x:v>Discount rate and inflation are separate concepts; the model also contains CPI assumptions.</x:v>
      </x:c>
      <x:c r="C11" s="26" t="str">
        <x:v>It confuses present value with purchasing power.</x:v>
      </x:c>
      <x:c r="D11" s="26" t="str">
        <x:v>How to Read This Model</x:v>
      </x:c>
    </x:row>
    <x:row r="12">
      <x:c r="A12" s="26" t="str">
        <x:v>Transfer-adjusted costs reduce the appropriation.</x:v>
      </x:c>
      <x:c r="B12" s="26" t="str">
        <x:v>They change only the provisional national economic denominator; full cash expenditure remains payable.</x:v>
      </x:c>
      <x:c r="C12" s="26" t="str">
        <x:v>It creates a fictitious budget saving.</x:v>
      </x:c>
      <x:c r="D12" s="26" t="str">
        <x:v>Benefits &amp; BCR</x:v>
      </x:c>
    </x:row>
    <x:row r="13">
      <x:c r="A13" s="26" t="str">
        <x:v>A positive national result proves fiscal affordability.</x:v>
      </x:c>
      <x:c r="B13" s="26" t="str">
        <x:v>Social value and Crown fiscal coverage answer different questions.</x:v>
      </x:c>
      <x:c r="C13" s="26" t="str">
        <x:v>A programme can be socially worthwhile but fiscally costly.</x:v>
      </x:c>
      <x:c r="D13" s="26" t="str">
        <x:v>Executive Summary</x:v>
      </x:c>
    </x:row>
    <x:row r="14">
      <x:c r="A14" s="26" t="str">
        <x:v>Average prison cost is fully cashable.</x:v>
      </x:c>
      <x:c r="B14" s="26" t="str">
        <x:v>Fixed and overhead costs may remain; the headline cashable rate is zero.</x:v>
      </x:c>
      <x:c r="C14" s="26" t="str">
        <x:v>It overstates fundable savings.</x:v>
      </x:c>
      <x:c r="D14" s="26" t="str">
        <x:v>Justice Sensitivity</x:v>
      </x:c>
    </x:row>
    <x:row r="15">
      <x:c r="A15" s="26" t="str">
        <x:v>A positive pilot outcome automatically justifies national scale.</x:v>
      </x:c>
      <x:c r="B15" s="26" t="str">
        <x:v>Scale requires the full stage-gate portfolio and evidence on cost, equity, implementation and harm.</x:v>
      </x:c>
      <x:c r="C15" s="26" t="str">
        <x:v>It bypasses the staged architecture.</x:v>
      </x:c>
      <x:c r="D15" s="26" t="str">
        <x:v>Stage-Gate Tests</x:v>
      </x:c>
    </x:row>
    <x:row r="16">
      <x:c r="A16" s="26" t="str">
        <x:v>The central scenario is proven to be most likely.</x:v>
      </x:c>
      <x:c r="B16" s="26" t="str">
        <x:v>Central is a consistent reference set, not a measured probability.</x:v>
      </x:c>
      <x:c r="C16" s="26" t="str">
        <x:v>It mistakes presentation convention for evidence.</x:v>
      </x:c>
      <x:c r="D16" s="26" t="str">
        <x:v>Assumptions</x:v>
      </x:c>
    </x:row>
    <x:row r="18">
      <x:c r="A18" t="str">
        <x:v>Return to: Start Here — Guided Tour</x:v>
      </x:c>
    </x:row>
  </x:sheetData>
  <x:mergeCells>
    <x:mergeCell ref="A1:D1"/>
    <x:mergeCell ref="A2:D2"/>
    <x:mergeCell ref="A18:B18"/>
  </x:mergeCells>
  <x:pageMargins left="0.7" right="0.7" top="0.75" bottom="0.75" header="0.3" footer="0.3"/>
</x:worksheet>
</file>

<file path=xl/worksheets/sheet6.xml><?xml version="1.0" encoding="utf-8"?>
<x:worksheet xmlns:x="http://schemas.openxmlformats.org/spreadsheetml/2006/main">
  <x:sheetViews>
    <x:sheetView showGridLines="0" workbookViewId="0"/>
  </x:sheetViews>
  <x:sheetFormatPr defaultRowHeight="15"/>
  <x:cols>
    <x:col min="1" max="1" width="25" hidden="0" customWidth="1"/>
    <x:col min="2" max="2" width="40" hidden="0" customWidth="1"/>
    <x:col min="3" max="3" width="40" hidden="0" customWidth="1"/>
    <x:col min="4" max="4" width="42" hidden="0" customWidth="1"/>
    <x:col min="5" max="5" width="42" hidden="0" customWidth="1"/>
    <x:col min="6" max="6" width="42" hidden="0" customWidth="1"/>
    <x:col min="7" max="7" width="26" hidden="0" customWidth="1"/>
    <x:col min="8" max="8" width="24" hidden="0" customWidth="1"/>
    <x:col min="9" max="9" width="30" hidden="0" customWidth="1"/>
  </x:cols>
  <x:sheetData>
    <x:row r="1">
      <x:c r="A1" s="1146" t="str">
        <x:v>Glossary &amp; Key Concepts</x:v>
      </x:c>
      <x:c r="B1" s="1146"/>
      <x:c r="C1" s="1146"/>
      <x:c r="D1" s="1146"/>
      <x:c r="E1" s="1146"/>
      <x:c r="F1" s="1146"/>
      <x:c r="G1" s="1146"/>
      <x:c r="H1" s="1146"/>
      <x:c r="I1" s="1146"/>
    </x:row>
    <x:row r="2">
      <x:c r="A2" s="1140" t="str">
        <x:v>Definitions are specific to this workbook. Filter by term, sheet or authority; use the Formula Dictionary for detailed calculation logic.</x:v>
      </x:c>
      <x:c r="B2" s="1140"/>
      <x:c r="C2" s="1140"/>
      <x:c r="D2" s="1140"/>
      <x:c r="E2" s="1140"/>
      <x:c r="F2" s="1140"/>
      <x:c r="G2" s="1140"/>
      <x:c r="H2" s="1140"/>
      <x:c r="I2" s="1140"/>
    </x:row>
    <x:row r="4">
      <x:c r="A4" s="1138" t="str">
        <x:v>Term</x:v>
      </x:c>
      <x:c r="B4" s="1138" t="str">
        <x:v>Plain-English definition</x:v>
      </x:c>
      <x:c r="C4" s="1138" t="str">
        <x:v>Technical definition</x:v>
      </x:c>
      <x:c r="D4" s="1138" t="str">
        <x:v>Why it matters in this model</x:v>
      </x:c>
      <x:c r="E4" s="1138" t="str">
        <x:v>Common misunderstanding</x:v>
      </x:c>
      <x:c r="F4" s="1138" t="str">
        <x:v>Example from this workbook</x:v>
      </x:c>
      <x:c r="G4" s="1138" t="str">
        <x:v>Relevant sheet</x:v>
      </x:c>
      <x:c r="H4" s="1138" t="str">
        <x:v>Relevant metric or cell</x:v>
      </x:c>
      <x:c r="I4" s="1138" t="str">
        <x:v>Source or authority</x:v>
      </x:c>
    </x:row>
    <x:row r="5">
      <x:c r="A5" s="26" t="str">
        <x:v>Appropriation</x:v>
      </x:c>
      <x:c r="B5" s="26" t="str">
        <x:v>Legal authority and cash budget required to spend public money.</x:v>
      </x:c>
      <x:c r="C5" s="26" t="str">
        <x:v>Parliamentary authority to incur specified expenditure.</x:v>
      </x:c>
      <x:c r="D5" s="26" t="str">
        <x:v>The full payment and operating envelope must be funded even when transfers are adjusted in a social CBA.</x:v>
      </x:c>
      <x:c r="E5" s="26" t="str">
        <x:v>Confusing a lower economic resource cost with a smaller cash requirement.</x:v>
      </x:c>
      <x:c r="F5" s="26" t="str">
        <x:v>Stage 2 mature annual cost remains payable in full.</x:v>
      </x:c>
      <x:c r="G5" s="26" t="str">
        <x:v>Stage 2 - National</x:v>
      </x:c>
      <x:c r="H5" s="26" t="str">
        <x:v>K48</x:v>
      </x:c>
      <x:c r="I5" s="26" t="str">
        <x:v>Treasury public-finance practice</x:v>
      </x:c>
    </x:row>
    <x:row r="6">
      <x:c r="A6" s="26" t="str">
        <x:v>Annual expenditure</x:v>
      </x:c>
      <x:c r="B6" s="26" t="str">
        <x:v>Cash spent during one financial year.</x:v>
      </x:c>
      <x:c r="C6" s="26" t="str">
        <x:v>Nominal programme expenditure recognised in a specified year.</x:v>
      </x:c>
      <x:c r="D6" s="26" t="str">
        <x:v>Used for Stage 0 and mature annual national run-rate comparisons.</x:v>
      </x:c>
      <x:c r="E6" s="26" t="str">
        <x:v>Adding it directly to a multi-year or lifetime figure without aligning time periods.</x:v>
      </x:c>
      <x:c r="F6" s="26" t="str">
        <x:v>Mature annual national cost.</x:v>
      </x:c>
      <x:c r="G6" s="26" t="str">
        <x:v>Executive Summary</x:v>
      </x:c>
      <x:c r="H6" s="26" t="str">
        <x:v>C12</x:v>
      </x:c>
      <x:c r="I6" s="26" t="str">
        <x:v>Model</x:v>
      </x:c>
    </x:row>
    <x:row r="7">
      <x:c r="A7" s="26" t="str">
        <x:v>Fiscal cost</x:v>
      </x:c>
      <x:c r="B7" s="26" t="str">
        <x:v>Net effect on Crown revenue and expenditure.</x:v>
      </x:c>
      <x:c r="C7" s="26" t="str">
        <x:v>Public-sector cash or accrual cost from the Crown perspective.</x:v>
      </x:c>
      <x:c r="D7" s="26" t="str">
        <x:v>Shows affordability, not total national value.</x:v>
      </x:c>
      <x:c r="E7" s="26" t="str">
        <x:v>Treating all social costs as Crown costs.</x:v>
      </x:c>
      <x:c r="F7" s="26" t="str">
        <x:v>Full Crown expenditure less valid fiscal offsets.</x:v>
      </x:c>
      <x:c r="G7" s="26" t="str">
        <x:v>Human Capital &amp; Earnings</x:v>
      </x:c>
      <x:c r="H7" s="26" t="str">
        <x:v>M99</x:v>
      </x:c>
      <x:c r="I7" s="26" t="str">
        <x:v>Treasury social-CBA guidance</x:v>
      </x:c>
    </x:row>
    <x:row r="8">
      <x:c r="A8" s="26" t="str">
        <x:v>Fiscal saving</x:v>
      </x:c>
      <x:c r="B8" s="26" t="str">
        <x:v>A reduction in Crown expenditure or increase in Crown revenue caused by the programme.</x:v>
      </x:c>
      <x:c r="C8" s="26" t="str">
        <x:v>Causally attributable public-finance benefit.</x:v>
      </x:c>
      <x:c r="D8" s="26" t="str">
        <x:v>Counts toward fiscal coverage only where valid and non-overlapping.</x:v>
      </x:c>
      <x:c r="E8" s="26" t="str">
        <x:v>Calling gross earnings a fiscal saving.</x:v>
      </x:c>
      <x:c r="F8" s="26" t="str">
        <x:v>Incremental income tax and ACC.</x:v>
      </x:c>
      <x:c r="G8" s="26" t="str">
        <x:v>Human Capital &amp; Earnings</x:v>
      </x:c>
      <x:c r="H8" s="26" t="str">
        <x:v>G99</x:v>
      </x:c>
      <x:c r="I8" s="26" t="str">
        <x:v>Model</x:v>
      </x:c>
    </x:row>
    <x:row r="9">
      <x:c r="A9" s="26" t="str">
        <x:v>Fiscal offset</x:v>
      </x:c>
      <x:c r="B9" s="26" t="str">
        <x:v>A valid Crown benefit that partly reduces net fiscal cost.</x:v>
      </x:c>
      <x:c r="C9" s="26" t="str">
        <x:v>Recognised tax, benefit, loan or administrative effect attributable to the programme.</x:v>
      </x:c>
      <x:c r="D9" s="26" t="str">
        <x:v>Used in fiscal coverage and net fiscal cost.</x:v>
      </x:c>
      <x:c r="E9" s="26" t="str">
        <x:v>Assuming the offset reduces the appropriation at the time payments are made.</x:v>
      </x:c>
      <x:c r="F9" s="26" t="str">
        <x:v>Net Learning Capital Crown offset.</x:v>
      </x:c>
      <x:c r="G9" s="26" t="str">
        <x:v>Cohort Bridge</x:v>
      </x:c>
      <x:c r="H9" s="26" t="str">
        <x:v>D30</x:v>
      </x:c>
      <x:c r="I9" s="26" t="str">
        <x:v>Model</x:v>
      </x:c>
    </x:row>
    <x:row r="10">
      <x:c r="A10" s="26" t="str">
        <x:v>Fiscal coverage</x:v>
      </x:c>
      <x:c r="B10" s="26" t="str">
        <x:v>Share of full Crown expenditure covered by valid Crown fiscal offsets.</x:v>
      </x:c>
      <x:c r="C10" s="26" t="str">
        <x:v>Fiscal offsets divided by full Crown expenditure.</x:v>
      </x:c>
      <x:c r="D10" s="26" t="str">
        <x:v>Shows how much public cost is recovered fiscally.</x:v>
      </x:c>
      <x:c r="E10" s="26" t="str">
        <x:v>Calling it a social BCR or an investment yield.</x:v>
      </x:c>
      <x:c r="F10" s="26" t="str">
        <x:v>Crown fiscal coverage at 1% uplift.</x:v>
      </x:c>
      <x:c r="G10" s="26" t="str">
        <x:v>Human Capital &amp; Earnings</x:v>
      </x:c>
      <x:c r="H10" s="26" t="str">
        <x:v>M99</x:v>
      </x:c>
      <x:c r="I10" s="26" t="str">
        <x:v>Model</x:v>
      </x:c>
    </x:row>
    <x:row r="11">
      <x:c r="A11" s="26" t="str">
        <x:v>Net fiscal cost</x:v>
      </x:c>
      <x:c r="B11" s="26" t="str">
        <x:v>Full Crown expenditure minus valid fiscal offsets.</x:v>
      </x:c>
      <x:c r="C11" s="26" t="str">
        <x:v>Residual Crown cost after attributable fiscal benefits.</x:v>
      </x:c>
      <x:c r="D11" s="26" t="str">
        <x:v>Shows the remaining taxpayer cost.</x:v>
      </x:c>
      <x:c r="E11" s="26" t="str">
        <x:v>Subtracting social benefits that are not Crown cash.</x:v>
      </x:c>
      <x:c r="F11" s="26" t="str">
        <x:v>Programme expenditure less valid offsets.</x:v>
      </x:c>
      <x:c r="G11" s="26" t="str">
        <x:v>Human Capital &amp; Earnings</x:v>
      </x:c>
      <x:c r="H11" s="26" t="str">
        <x:v>C117</x:v>
      </x:c>
      <x:c r="I11" s="26" t="str">
        <x:v>Model</x:v>
      </x:c>
    </x:row>
    <x:row r="12">
      <x:c r="A12" s="26" t="str">
        <x:v>Cashable saving</x:v>
      </x:c>
      <x:c r="B12" s="26" t="str">
        <x:v>A saving that can actually reduce a future cash budget.</x:v>
      </x:c>
      <x:c r="C12" s="26" t="str">
        <x:v>Marginal expenditure avoided and capable of being released.</x:v>
      </x:c>
      <x:c r="D12" s="26" t="str">
        <x:v>Important for prison and administration claims.</x:v>
      </x:c>
      <x:c r="E12" s="26" t="str">
        <x:v>Treating an average cost as fully cashable.</x:v>
      </x:c>
      <x:c r="F12" s="26" t="str">
        <x:v>Justice headline cashable rate is zero.</x:v>
      </x:c>
      <x:c r="G12" s="26" t="str">
        <x:v>Justice Sensitivity</x:v>
      </x:c>
      <x:c r="H12" s="26" t="str">
        <x:v>H5</x:v>
      </x:c>
      <x:c r="I12" s="26" t="str">
        <x:v>Treasury/Corrections discipline</x:v>
      </x:c>
    </x:row>
    <x:row r="13">
      <x:c r="A13" s="26" t="str">
        <x:v>Marginal saving</x:v>
      </x:c>
      <x:c r="B13" s="26" t="str">
        <x:v>Change in cost caused by one additional unit of outcome.</x:v>
      </x:c>
      <x:c r="C13" s="26" t="str">
        <x:v>Avoidable variable cost at the margin.</x:v>
      </x:c>
      <x:c r="D13" s="26" t="str">
        <x:v>Prevents fixed costs from being claimed as savings.</x:v>
      </x:c>
      <x:c r="E13" s="26" t="str">
        <x:v>Using average cost per prisoner as marginal saving.</x:v>
      </x:c>
      <x:c r="F13" s="26" t="str">
        <x:v>Cashable Corrections saving remains zero.</x:v>
      </x:c>
      <x:c r="G13" s="26" t="str">
        <x:v>Assumptions</x:v>
      </x:c>
      <x:c r="H13" s="26" t="str">
        <x:v>E131</x:v>
      </x:c>
      <x:c r="I13" s="26" t="str">
        <x:v>Model</x:v>
      </x:c>
    </x:row>
    <x:row r="14">
      <x:c r="A14" s="26" t="str">
        <x:v>Fixed cost</x:v>
      </x:c>
      <x:c r="B14" s="26" t="str">
        <x:v>Cost that does not change immediately with activity.</x:v>
      </x:c>
      <x:c r="C14" s="26" t="str">
        <x:v>Cost invariant over the relevant activity range.</x:v>
      </x:c>
      <x:c r="D14" s="26" t="str">
        <x:v>Explains why average savings may not release cash.</x:v>
      </x:c>
      <x:c r="E14" s="26" t="str">
        <x:v>Assuming every averted case closes capacity.</x:v>
      </x:c>
      <x:c r="F14" s="26" t="str">
        <x:v>Prison overhead may remain.</x:v>
      </x:c>
      <x:c r="G14" s="26" t="str">
        <x:v>Justice Sensitivity</x:v>
      </x:c>
      <x:c r="H14" s="26" t="str">
        <x:v>A2</x:v>
      </x:c>
      <x:c r="I14" s="26" t="str">
        <x:v>General finance</x:v>
      </x:c>
    </x:row>
    <x:row r="15">
      <x:c r="A15" s="26" t="str">
        <x:v>Variable cost</x:v>
      </x:c>
      <x:c r="B15" s="26" t="str">
        <x:v>Cost that changes with activity.</x:v>
      </x:c>
      <x:c r="C15" s="26" t="str">
        <x:v>Incremental cost linked to units delivered.</x:v>
      </x:c>
      <x:c r="D15" s="26" t="str">
        <x:v>Supports marginal-cost analysis.</x:v>
      </x:c>
      <x:c r="E15" s="26" t="str">
        <x:v>Treating all programme overhead as variable.</x:v>
      </x:c>
      <x:c r="F15" s="26" t="str">
        <x:v>Targeted accelerator unit cost.</x:v>
      </x:c>
      <x:c r="G15" s="26" t="str">
        <x:v>Delivery Scenarios</x:v>
      </x:c>
      <x:c r="H15" s="26" t="str">
        <x:v>B13</x:v>
      </x:c>
      <x:c r="I15" s="26" t="str">
        <x:v>Model</x:v>
      </x:c>
    </x:row>
    <x:row r="16">
      <x:c r="A16" s="26" t="str">
        <x:v>Economic cost</x:v>
      </x:c>
      <x:c r="B16" s="26" t="str">
        <x:v>National opportunity cost of resources used.</x:v>
      </x:c>
      <x:c r="C16" s="26" t="str">
        <x:v>Value of real resources displaced from alternative uses.</x:v>
      </x:c>
      <x:c r="D16" s="26" t="str">
        <x:v>Denominator for national economic CBA.</x:v>
      </x:c>
      <x:c r="E16" s="26" t="str">
        <x:v>Equating it automatically with Crown cash expenditure.</x:v>
      </x:c>
      <x:c r="F16" s="26" t="str">
        <x:v>Transfer-adjusted resource-cost sensitivity.</x:v>
      </x:c>
      <x:c r="G16" s="26" t="str">
        <x:v>Benefits &amp; BCR</x:v>
      </x:c>
      <x:c r="H16" s="26" t="str">
        <x:v>E106</x:v>
      </x:c>
      <x:c r="I16" s="26" t="str">
        <x:v>Treasury guidance</x:v>
      </x:c>
    </x:row>
    <x:row r="17">
      <x:c r="A17" s="26" t="str">
        <x:v>Resource cost</x:v>
      </x:c>
      <x:c r="B17" s="26" t="str">
        <x:v>Labour, technology, administration and other real inputs consumed.</x:v>
      </x:c>
      <x:c r="C17" s="26" t="str">
        <x:v>Opportunity cost excluding pure transfers where appropriate.</x:v>
      </x:c>
      <x:c r="D17" s="26" t="str">
        <x:v>Drives the transfer-adjusted BCR denominator.</x:v>
      </x:c>
      <x:c r="E17" s="26" t="str">
        <x:v>Treating transfers as costless to the Crown.</x:v>
      </x:c>
      <x:c r="F17" s="26" t="str">
        <x:v>Non-payment delivery cost remains a resource cost.</x:v>
      </x:c>
      <x:c r="G17" s="26" t="str">
        <x:v>Stage 2 - National</x:v>
      </x:c>
      <x:c r="H17" s="26" t="str">
        <x:v>K48</x:v>
      </x:c>
      <x:c r="I17" s="26" t="str">
        <x:v>Treasury guidance</x:v>
      </x:c>
    </x:row>
    <x:row r="18">
      <x:c r="A18" s="26" t="str">
        <x:v>Opportunity cost</x:v>
      </x:c>
      <x:c r="B18" s="26" t="str">
        <x:v>Value of the best alternative use forgone.</x:v>
      </x:c>
      <x:c r="C18" s="26" t="str">
        <x:v>Economic value displaced by committing resources.</x:v>
      </x:c>
      <x:c r="D18" s="26" t="str">
        <x:v>Explains why public capital and investment returns are not free national value.</x:v>
      </x:c>
      <x:c r="E18" s="26" t="str">
        <x:v>Ignoring the cost of tying up public funds.</x:v>
      </x:c>
      <x:c r="F18" s="26" t="str">
        <x:v>Learning Capital investment return is not automatically additive.</x:v>
      </x:c>
      <x:c r="G18" s="26" t="str">
        <x:v>Learning Capital &amp; ROI</x:v>
      </x:c>
      <x:c r="H18" s="26" t="str">
        <x:v>C26</x:v>
      </x:c>
      <x:c r="I18" s="26" t="str">
        <x:v>Treasury guidance</x:v>
      </x:c>
    </x:row>
    <x:row r="19">
      <x:c r="A19" s="26" t="str">
        <x:v>Social cost</x:v>
      </x:c>
      <x:c r="B19" s="26" t="str">
        <x:v>Cost borne anywhere in New Zealand society.</x:v>
      </x:c>
      <x:c r="C19" s="26" t="str">
        <x:v>National welfare loss including real resources and harms.</x:v>
      </x:c>
      <x:c r="D19" s="26" t="str">
        <x:v>Used in social CBA, not merely agency budgets.</x:v>
      </x:c>
      <x:c r="E19" s="26" t="str">
        <x:v>Counting transfers between New Zealanders as net national loss without analysis.</x:v>
      </x:c>
      <x:c r="F19" s="26" t="str">
        <x:v>Full-expenditure BCR is a stringent social-investment view.</x:v>
      </x:c>
      <x:c r="G19" s="26" t="str">
        <x:v>Benefits &amp; BCR</x:v>
      </x:c>
      <x:c r="H19" s="26" t="str">
        <x:v>B105</x:v>
      </x:c>
      <x:c r="I19" s="26" t="str">
        <x:v>Model</x:v>
      </x:c>
    </x:row>
    <x:row r="20">
      <x:c r="A20" s="26" t="str">
        <x:v>Social benefit</x:v>
      </x:c>
      <x:c r="B20" s="26" t="str">
        <x:v>Causal improvement in wellbeing or economic value for New Zealand.</x:v>
      </x:c>
      <x:c r="C20" s="26" t="str">
        <x:v>National welfare gain net of transfers and overlap.</x:v>
      </x:c>
      <x:c r="D20" s="26" t="str">
        <x:v>Supports value-for-money decisions.</x:v>
      </x:c>
      <x:c r="E20" s="26" t="str">
        <x:v>Treating it as cash available to fund the programme.</x:v>
      </x:c>
      <x:c r="F20" s="26" t="str">
        <x:v>Lifetime earnings benefit.</x:v>
      </x:c>
      <x:c r="G20" s="26" t="str">
        <x:v>Human Capital &amp; Earnings</x:v>
      </x:c>
      <x:c r="H20" s="26" t="str">
        <x:v>C99</x:v>
      </x:c>
      <x:c r="I20" s="26" t="str">
        <x:v>Model</x:v>
      </x:c>
    </x:row>
    <x:row r="21">
      <x:c r="A21" s="26" t="str">
        <x:v>Transfer payment</x:v>
      </x:c>
      <x:c r="B21" s="26" t="str">
        <x:v>Payment that reallocates purchasing power between parties.</x:v>
      </x:c>
      <x:c r="C21" s="26" t="str">
        <x:v>Transaction with offsetting payer and recipient entries before administrative and distortion costs.</x:v>
      </x:c>
      <x:c r="D21" s="26" t="str">
        <x:v>Explains the provisional transfer-adjusted view.</x:v>
      </x:c>
      <x:c r="E21" s="26" t="str">
        <x:v>Assuming transfers are fiscally free.</x:v>
      </x:c>
      <x:c r="F21" s="26" t="str">
        <x:v>Participation payments remain full programme expenditure.</x:v>
      </x:c>
      <x:c r="G21" s="26" t="str">
        <x:v>Stage 2 - National</x:v>
      </x:c>
      <x:c r="H21" s="26" t="str">
        <x:v>K15</x:v>
      </x:c>
      <x:c r="I21" s="26" t="str">
        <x:v>Treasury guidance</x:v>
      </x:c>
    </x:row>
    <x:row r="22">
      <x:c r="A22" s="26" t="str">
        <x:v>Transfer-adjusted cost</x:v>
      </x:c>
      <x:c r="B22" s="26" t="str">
        <x:v>Provisional national resource-cost denominator after distinguishing transfers from real resource consumption.</x:v>
      </x:c>
      <x:c r="C22" s="26" t="str">
        <x:v>Economic denominator requiring careful social-CBA treatment.</x:v>
      </x:c>
      <x:c r="D22" s="26" t="str">
        <x:v>Provides a second analytical view without changing appropriation.</x:v>
      </x:c>
      <x:c r="E22" s="26" t="str">
        <x:v>Using it as the Crown budget.</x:v>
      </x:c>
      <x:c r="F22" s="26" t="str">
        <x:v>Transfer-adjusted national economic BCR.</x:v>
      </x:c>
      <x:c r="G22" s="26" t="str">
        <x:v>Human Capital &amp; Earnings</x:v>
      </x:c>
      <x:c r="H22" s="26" t="str">
        <x:v>O99</x:v>
      </x:c>
      <x:c r="I22" s="26" t="str">
        <x:v>Provisional model</x:v>
      </x:c>
    </x:row>
    <x:row r="23">
      <x:c r="A23" s="26" t="str">
        <x:v>Full-expenditure BCR</x:v>
      </x:c>
      <x:c r="B23" s="26" t="str">
        <x:v>Included social benefits divided by the full public expenditure envelope.</x:v>
      </x:c>
      <x:c r="C23" s="26" t="str">
        <x:v>Stringent social-investment ratio using all programme expenditure as cost.</x:v>
      </x:c>
      <x:c r="D23" s="26" t="str">
        <x:v>Tests value for money conservatively.</x:v>
      </x:c>
      <x:c r="E23" s="26" t="str">
        <x:v>Calling it fiscal recovery.</x:v>
      </x:c>
      <x:c r="F23" s="26" t="str">
        <x:v>Full-expenditure BCR at 1% uplift.</x:v>
      </x:c>
      <x:c r="G23" s="26" t="str">
        <x:v>Human Capital &amp; Earnings</x:v>
      </x:c>
      <x:c r="H23" s="26" t="str">
        <x:v>J99</x:v>
      </x:c>
      <x:c r="I23" s="26" t="str">
        <x:v>Model</x:v>
      </x:c>
    </x:row>
    <x:row r="24">
      <x:c r="A24" s="26" t="str">
        <x:v>Transfer-adjusted economic BCR</x:v>
      </x:c>
      <x:c r="B24" s="26" t="str">
        <x:v>Included national benefits divided by provisional real resource cost after transfer adjustment.</x:v>
      </x:c>
      <x:c r="C24" s="26" t="str">
        <x:v>National economic sensitivity distinct from fiscal analysis.</x:v>
      </x:c>
      <x:c r="D24" s="26" t="str">
        <x:v>Shows how perspective changes the denominator.</x:v>
      </x:c>
      <x:c r="E24" s="26" t="str">
        <x:v>Assuming it reduces cash required.</x:v>
      </x:c>
      <x:c r="F24" s="26" t="str">
        <x:v>Transfer-adjusted BCR at 1% uplift.</x:v>
      </x:c>
      <x:c r="G24" s="26" t="str">
        <x:v>Human Capital &amp; Earnings</x:v>
      </x:c>
      <x:c r="H24" s="26" t="str">
        <x:v>O99</x:v>
      </x:c>
      <x:c r="I24" s="26" t="str">
        <x:v>Provisional; Treasury confirmation</x:v>
      </x:c>
    </x:row>
    <x:row r="25">
      <x:c r="A25" s="26" t="str">
        <x:v>Benefit-cost ratio</x:v>
      </x:c>
      <x:c r="B25" s="26" t="str">
        <x:v>Present value of included benefits divided by present value of included costs.</x:v>
      </x:c>
      <x:c r="C25" s="26" t="str">
        <x:v>PV benefits ÷ PV costs.</x:v>
      </x:c>
      <x:c r="D25" s="26" t="str">
        <x:v>Above 1 means included benefits exceed included costs under that perspective.</x:v>
      </x:c>
      <x:c r="E25" s="26" t="str">
        <x:v>Calling 1.28x a 28% cash return to Government.</x:v>
      </x:c>
      <x:c r="F25" s="26" t="str">
        <x:v>1.28x means $1.28 included benefit per $1 cost.</x:v>
      </x:c>
      <x:c r="G25" s="26" t="str">
        <x:v>Benefits &amp; BCR</x:v>
      </x:c>
      <x:c r="H25" s="26" t="str">
        <x:v>B105</x:v>
      </x:c>
      <x:c r="I25" s="26" t="str">
        <x:v>Treasury guidance</x:v>
      </x:c>
    </x:row>
    <x:row r="26">
      <x:c r="A26" s="26" t="str">
        <x:v>Return on investment</x:v>
      </x:c>
      <x:c r="B26" s="26" t="str">
        <x:v>Net benefit divided by defined investment cost.</x:v>
      </x:c>
      <x:c r="C26" s="26" t="str">
        <x:v>(Benefit − cost) ÷ cost, with perspective and components stated.</x:v>
      </x:c>
      <x:c r="D26" s="26" t="str">
        <x:v>Useful only when numerator and denominator are explicit.</x:v>
      </x:c>
      <x:c r="E26" s="26" t="str">
        <x:v>Using ROI as a synonym for BCR.</x:v>
      </x:c>
      <x:c r="F26" s="26" t="str">
        <x:v>Participant investment return is not the same as social BCR.</x:v>
      </x:c>
      <x:c r="G26" s="26" t="str">
        <x:v>Learning Capital &amp; ROI</x:v>
      </x:c>
      <x:c r="H26" s="26" t="str">
        <x:v>C26</x:v>
      </x:c>
      <x:c r="I26" s="26" t="str">
        <x:v>Finance</x:v>
      </x:c>
    </x:row>
    <x:row r="27">
      <x:c r="A27" s="26" t="str">
        <x:v>Net benefit</x:v>
      </x:c>
      <x:c r="B27" s="26" t="str">
        <x:v>Included benefits minus included costs.</x:v>
      </x:c>
      <x:c r="C27" s="26" t="str">
        <x:v>PV benefits − PV costs.</x:v>
      </x:c>
      <x:c r="D27" s="26" t="str">
        <x:v>Shows absolute value created or lost.</x:v>
      </x:c>
      <x:c r="E27" s="26" t="str">
        <x:v>Ignoring perspective and excluded effects.</x:v>
      </x:c>
      <x:c r="F27" s="26" t="str">
        <x:v>Social net benefit may differ from Crown net fiscal cost.</x:v>
      </x:c>
      <x:c r="G27" s="26" t="str">
        <x:v>Benefits &amp; BCR</x:v>
      </x:c>
      <x:c r="H27" s="26" t="str">
        <x:v>A103</x:v>
      </x:c>
      <x:c r="I27" s="26" t="str">
        <x:v>Treasury guidance</x:v>
      </x:c>
    </x:row>
    <x:row r="28">
      <x:c r="A28" s="26" t="str">
        <x:v>Present value</x:v>
      </x:c>
      <x:c r="B28" s="26" t="str">
        <x:v>Value today of a future amount after discounting.</x:v>
      </x:c>
      <x:c r="C28" s="26" t="str">
        <x:v>Future value divided by cumulative discount factor.</x:v>
      </x:c>
      <x:c r="D28" s="26" t="str">
        <x:v>Allows costs and benefits at different dates to be compared.</x:v>
      </x:c>
      <x:c r="E28" s="26" t="str">
        <x:v>Treating it as a forecast cash balance.</x:v>
      </x:c>
      <x:c r="F28" s="26" t="str">
        <x:v>Lifetime earnings PV.</x:v>
      </x:c>
      <x:c r="G28" s="26" t="str">
        <x:v>Human Capital &amp; Earnings</x:v>
      </x:c>
      <x:c r="H28" s="26" t="str">
        <x:v>C99</x:v>
      </x:c>
      <x:c r="I28" s="26" t="str">
        <x:v>Treasury guidance</x:v>
      </x:c>
    </x:row>
    <x:row r="29">
      <x:c r="A29" s="26" t="str">
        <x:v>Net present value</x:v>
      </x:c>
      <x:c r="B29" s="26" t="str">
        <x:v>Present value of benefits minus present value of costs.</x:v>
      </x:c>
      <x:c r="C29" s="26" t="str">
        <x:v>Σ discounted benefits − Σ discounted costs.</x:v>
      </x:c>
      <x:c r="D29" s="26" t="str">
        <x:v>Absolute social-value measure.</x:v>
      </x:c>
      <x:c r="E29" s="26" t="str">
        <x:v>Confusing it with annual budget impact.</x:v>
      </x:c>
      <x:c r="F29" s="26" t="str">
        <x:v>Not currently a headline metric; derivable from BCR components.</x:v>
      </x:c>
      <x:c r="G29" s="26" t="str">
        <x:v>Benefits &amp; BCR</x:v>
      </x:c>
      <x:c r="H29" s="26" t="str">
        <x:v>A103</x:v>
      </x:c>
      <x:c r="I29" s="26" t="str">
        <x:v>Treasury guidance</x:v>
      </x:c>
    </x:row>
    <x:row r="30">
      <x:c r="A30" s="26" t="str">
        <x:v>Discount rate</x:v>
      </x:c>
      <x:c r="B30" s="26" t="str">
        <x:v>Rate used to convert future values into present values.</x:v>
      </x:c>
      <x:c r="C30" s="26" t="str">
        <x:v>Social time-preference/opportunity-cost parameter specified for CBA.</x:v>
      </x:c>
      <x:c r="D30" s="26" t="str">
        <x:v>Materially changes long-lived earnings benefits.</x:v>
      </x:c>
      <x:c r="E30" s="26" t="str">
        <x:v>Treating 4% as the official lead social rate.</x:v>
      </x:c>
      <x:c r="F30" s="26" t="str">
        <x:v>2% lead, 4% intermediate, 8% high.</x:v>
      </x:c>
      <x:c r="G30" s="26" t="str">
        <x:v>Assumptions</x:v>
      </x:c>
      <x:c r="H30" s="26" t="str">
        <x:v>E15</x:v>
      </x:c>
      <x:c r="I30" s="26" t="str">
        <x:v>Treasury Circular 2024/15</x:v>
      </x:c>
    </x:row>
    <x:row r="31">
      <x:c r="A31" s="26" t="str">
        <x:v>Discount factor</x:v>
      </x:c>
      <x:c r="B31" s="26" t="str">
        <x:v>Multiplier applied to future values to calculate present value.</x:v>
      </x:c>
      <x:c r="C31" s="26" t="str">
        <x:v>1 ÷ (1+r)^t.</x:v>
      </x:c>
      <x:c r="D31" s="26" t="str">
        <x:v>Shows how timing affects value.</x:v>
      </x:c>
      <x:c r="E31" s="26" t="str">
        <x:v>Confusing discounting with inflation.</x:v>
      </x:c>
      <x:c r="F31" s="26" t="str">
        <x:v>Age-earnings PV factors.</x:v>
      </x:c>
      <x:c r="G31" s="26" t="str">
        <x:v>Human Capital &amp; Earnings</x:v>
      </x:c>
      <x:c r="H31" s="26" t="str">
        <x:v>K45</x:v>
      </x:c>
      <x:c r="I31" s="26" t="str">
        <x:v>Model</x:v>
      </x:c>
    </x:row>
    <x:row r="32">
      <x:c r="A32" s="26" t="str">
        <x:v>Nominal value</x:v>
      </x:c>
      <x:c r="B32" s="26" t="str">
        <x:v>Amount expressed in dollars of the year it occurs.</x:v>
      </x:c>
      <x:c r="C32" s="26" t="str">
        <x:v>Unadjusted money value including price changes.</x:v>
      </x:c>
      <x:c r="D32" s="26" t="str">
        <x:v>Used for cash and account balances.</x:v>
      </x:c>
      <x:c r="E32" s="26" t="str">
        <x:v>Comparing different years without adjustment.</x:v>
      </x:c>
      <x:c r="F32" s="26" t="str">
        <x:v>Nominal account balance.</x:v>
      </x:c>
      <x:c r="G32" s="26" t="str">
        <x:v>Learning Capital &amp; ROI</x:v>
      </x:c>
      <x:c r="H32" s="26" t="str">
        <x:v>C26</x:v>
      </x:c>
      <x:c r="I32" s="26" t="str">
        <x:v>Finance</x:v>
      </x:c>
    </x:row>
    <x:row r="33">
      <x:c r="A33" s="26" t="str">
        <x:v>Real value</x:v>
      </x:c>
      <x:c r="B33" s="26" t="str">
        <x:v>Amount expressed in constant purchasing power.</x:v>
      </x:c>
      <x:c r="C33" s="26" t="str">
        <x:v>Nominal value deflated to a base year.</x:v>
      </x:c>
      <x:c r="D33" s="26" t="str">
        <x:v>Shows what money can buy in 2026 terms.</x:v>
      </x:c>
      <x:c r="E33" s="26" t="str">
        <x:v>Treating real and nominal balances as additive.</x:v>
      </x:c>
      <x:c r="F33" s="26" t="str">
        <x:v>Real account balance.</x:v>
      </x:c>
      <x:c r="G33" s="26" t="str">
        <x:v>Learning Capital &amp; ROI</x:v>
      </x:c>
      <x:c r="H33" s="26" t="str">
        <x:v>C29</x:v>
      </x:c>
      <x:c r="I33" s="26" t="str">
        <x:v>Finance</x:v>
      </x:c>
    </x:row>
    <x:row r="34">
      <x:c r="A34" s="26" t="str">
        <x:v>Inflation</x:v>
      </x:c>
      <x:c r="B34" s="26" t="str">
        <x:v>General increase in prices over time.</x:v>
      </x:c>
      <x:c r="C34" s="26" t="str">
        <x:v>Change in a price index such as CPI.</x:v>
      </x:c>
      <x:c r="D34" s="26" t="str">
        <x:v>Converts nominal to real value.</x:v>
      </x:c>
      <x:c r="E34" s="26" t="str">
        <x:v>Adding inflation erosion to fair-value cost when overlapping.</x:v>
      </x:c>
      <x:c r="F34" s="26" t="str">
        <x:v>Treasury CPI curve.</x:v>
      </x:c>
      <x:c r="G34" s="26" t="str">
        <x:v>Assumptions</x:v>
      </x:c>
      <x:c r="H34" s="26" t="str">
        <x:v>E94</x:v>
      </x:c>
      <x:c r="I34" s="26" t="str">
        <x:v>Treasury/Stats NZ</x:v>
      </x:c>
    </x:row>
    <x:row r="35">
      <x:c r="A35" s="26" t="str">
        <x:v>Purchasing-power erosion</x:v>
      </x:c>
      <x:c r="B35" s="26" t="str">
        <x:v>Loss of real value when prices rise.</x:v>
      </x:c>
      <x:c r="C35" s="26" t="str">
        <x:v>Nominal amount divided by cumulative inflation.</x:v>
      </x:c>
      <x:c r="D35" s="26" t="str">
        <x:v>Explains real student value.</x:v>
      </x:c>
      <x:c r="E35" s="26" t="str">
        <x:v>Treating it as an additional Crown cost on top of fair value.</x:v>
      </x:c>
      <x:c r="F35" s="26" t="str">
        <x:v>Real versus nominal account balance.</x:v>
      </x:c>
      <x:c r="G35" s="26" t="str">
        <x:v>Learning Capital &amp; ROI</x:v>
      </x:c>
      <x:c r="H35" s="26" t="str">
        <x:v>C29</x:v>
      </x:c>
      <x:c r="I35" s="26" t="str">
        <x:v>Model</x:v>
      </x:c>
    </x:row>
    <x:row r="36">
      <x:c r="A36" s="26" t="str">
        <x:v>Cost of capital</x:v>
      </x:c>
      <x:c r="B36" s="26" t="str">
        <x:v>Cost of committing public funds over time.</x:v>
      </x:c>
      <x:c r="C36" s="26" t="str">
        <x:v>Required return or financing/opportunity cost.</x:v>
      </x:c>
      <x:c r="D36" s="26" t="str">
        <x:v>Relevant to student-loan valuation.</x:v>
      </x:c>
      <x:c r="E36" s="26" t="str">
        <x:v>Adding it again when fair value already incorporates discounting.</x:v>
      </x:c>
      <x:c r="F36" s="26" t="str">
        <x:v>Alternative non-additive view.</x:v>
      </x:c>
      <x:c r="G36" s="26" t="str">
        <x:v>Executive Summary</x:v>
      </x:c>
      <x:c r="H36" s="26" t="str">
        <x:v>B23</x:v>
      </x:c>
      <x:c r="I36" s="26" t="str">
        <x:v>Student Loan Annual Report</x:v>
      </x:c>
    </x:row>
    <x:row r="37">
      <x:c r="A37" s="26" t="str">
        <x:v>Fair value</x:v>
      </x:c>
      <x:c r="B37" s="26" t="str">
        <x:v>Estimated present value of expected future cash flows.</x:v>
      </x:c>
      <x:c r="C37" s="26" t="str">
        <x:v>Accounting value using repayment, risk, discount and administration assumptions.</x:v>
      </x:c>
      <x:c r="D37" s="26" t="str">
        <x:v>Principal Crown measure for student-loan cost.</x:v>
      </x:c>
      <x:c r="E37" s="26" t="str">
        <x:v>Calling loan principal avoided a net saving.</x:v>
      </x:c>
      <x:c r="F37" s="26" t="str">
        <x:v>Initial fair-value cost avoided.</x:v>
      </x:c>
      <x:c r="G37" s="26" t="str">
        <x:v>Cohort Bridge</x:v>
      </x:c>
      <x:c r="H37" s="26" t="str">
        <x:v>D28</x:v>
      </x:c>
      <x:c r="I37" s="26" t="str">
        <x:v>Official audited method</x:v>
      </x:c>
    </x:row>
    <x:row r="38">
      <x:c r="A38" s="26" t="str">
        <x:v>Initial fair-value write-down</x:v>
      </x:c>
      <x:c r="B38" s="26" t="str">
        <x:v>Expected lifetime cost recognised when a student loan is originated.</x:v>
      </x:c>
      <x:c r="C38" s="26" t="str">
        <x:v>Difference between cash lent and fair value at origination.</x:v>
      </x:c>
      <x:c r="D38" s="26" t="str">
        <x:v>Central Crown offset when lending is genuinely displaced.</x:v>
      </x:c>
      <x:c r="E38" s="26" t="str">
        <x:v>Adding it to inflation and cost-of-capital measures.</x:v>
      </x:c>
      <x:c r="F38" s="26" t="str">
        <x:v>34.24 cents per dollar lent.</x:v>
      </x:c>
      <x:c r="G38" s="26" t="str">
        <x:v>Assumptions</x:v>
      </x:c>
      <x:c r="H38" s="26" t="str">
        <x:v>E80</x:v>
      </x:c>
      <x:c r="I38" s="26" t="str">
        <x:v>Student Loan Annual Report</x:v>
      </x:c>
    </x:row>
    <x:row r="39">
      <x:c r="A39" s="26" t="str">
        <x:v>Lifetime cost per dollar lent</x:v>
      </x:c>
      <x:c r="B39" s="26" t="str">
        <x:v>Expected Crown cost attached to each dollar of new lending.</x:v>
      </x:c>
      <x:c r="C39" s="26" t="str">
        <x:v>Initial write-down divided by gross lending.</x:v>
      </x:c>
      <x:c r="D39" s="26" t="str">
        <x:v>Converts displaced lending to a fiscal offset.</x:v>
      </x:c>
      <x:c r="E39" s="26" t="str">
        <x:v>Treating the entire dollar lent as cost.</x:v>
      </x:c>
      <x:c r="F39" s="26" t="str">
        <x:v>Official fair-value rate.</x:v>
      </x:c>
      <x:c r="G39" s="26" t="str">
        <x:v>Assumptions</x:v>
      </x:c>
      <x:c r="H39" s="26" t="str">
        <x:v>E80</x:v>
      </x:c>
      <x:c r="I39" s="26" t="str">
        <x:v>Student Loan Annual Report</x:v>
      </x:c>
    </x:row>
    <x:row r="40">
      <x:c r="A40" s="26" t="str">
        <x:v>Gross student lending displaced</x:v>
      </x:c>
      <x:c r="B40" s="26" t="str">
        <x:v>Loan principal the Crown may not need to advance.</x:v>
      </x:c>
      <x:c r="C40" s="26" t="str">
        <x:v>Counterfactual cash lending avoided.</x:v>
      </x:c>
      <x:c r="D40" s="26" t="str">
        <x:v>Useful cash-flow disclosure.</x:v>
      </x:c>
      <x:c r="E40" s="26" t="str">
        <x:v>Calling it a net Crown saving.</x:v>
      </x:c>
      <x:c r="F40" s="26" t="str">
        <x:v>Gross principal displaced.</x:v>
      </x:c>
      <x:c r="G40" s="26" t="str">
        <x:v>Cohort Bridge</x:v>
      </x:c>
      <x:c r="H40" s="26" t="str">
        <x:v>D27</x:v>
      </x:c>
      <x:c r="I40" s="26" t="str">
        <x:v>Model</x:v>
      </x:c>
    </x:row>
    <x:row r="41">
      <x:c r="A41" s="26" t="str">
        <x:v>Student debt avoided</x:v>
      </x:c>
      <x:c r="B41" s="26" t="str">
        <x:v>Participant liability that may be replaced by Learning Capital.</x:v>
      </x:c>
      <x:c r="C41" s="26" t="str">
        <x:v>Counterfactual borrowing displaced.</x:v>
      </x:c>
      <x:c r="D41" s="26" t="str">
        <x:v>Shows participant financial value.</x:v>
      </x:c>
      <x:c r="E41" s="26" t="str">
        <x:v>Adding it to the same account balance as a second benefit.</x:v>
      </x:c>
      <x:c r="F41" s="26" t="str">
        <x:v>Debt displacement per participant.</x:v>
      </x:c>
      <x:c r="G41" s="26" t="str">
        <x:v>Learning Capital &amp; ROI</x:v>
      </x:c>
      <x:c r="H41" s="26" t="str">
        <x:v>C31</x:v>
      </x:c>
      <x:c r="I41" s="26" t="str">
        <x:v>Model</x:v>
      </x:c>
    </x:row>
    <x:row r="42">
      <x:c r="A42" s="26" t="str">
        <x:v>Learning Capital Account</x:v>
      </x:c>
      <x:c r="B42" s="26" t="str">
        <x:v>Protected participant-attributed education capital funded from half of verified payments.</x:v>
      </x:c>
      <x:c r="C42" s="26" t="str">
        <x:v>Restricted account for approved learning and capability uses.</x:v>
      </x:c>
      <x:c r="D42" s="26" t="str">
        <x:v>Supports future education without unrestricted lump-sum release.</x:v>
      </x:c>
      <x:c r="E42" s="26" t="str">
        <x:v>Calling it free money or a Crown saving.</x:v>
      </x:c>
      <x:c r="F42" s="26" t="str">
        <x:v>Five-year contribution and investment balance.</x:v>
      </x:c>
      <x:c r="G42" s="26" t="str">
        <x:v>Learning Capital &amp; ROI</x:v>
      </x:c>
      <x:c r="H42" s="26" t="str">
        <x:v>C23</x:v>
      </x:c>
      <x:c r="I42" s="26" t="str">
        <x:v>Policy design</x:v>
      </x:c>
    </x:row>
    <x:row r="43">
      <x:c r="A43" s="26" t="str">
        <x:v>Investment return</x:v>
      </x:c>
      <x:c r="B43" s="26" t="str">
        <x:v>Gain or loss on invested Learning Capital after fees and tax assumptions.</x:v>
      </x:c>
      <x:c r="C43" s="26" t="str">
        <x:v>Market performance on account assets.</x:v>
      </x:c>
      <x:c r="D43" s="26" t="str">
        <x:v>Changes participant balance.</x:v>
      </x:c>
      <x:c r="E43" s="26" t="str">
        <x:v>Treating returns as guaranteed or free national benefit.</x:v>
      </x:c>
      <x:c r="F43" s="26" t="str">
        <x:v>Central net nominal return 4%.</x:v>
      </x:c>
      <x:c r="G43" s="26" t="str">
        <x:v>Assumptions</x:v>
      </x:c>
      <x:c r="H43" s="26" t="str">
        <x:v>E58</x:v>
      </x:c>
      <x:c r="I43" s="26" t="str">
        <x:v>Scenario</x:v>
      </x:c>
    </x:row>
    <x:row r="44">
      <x:c r="A44" s="26" t="str">
        <x:v>Lifecycle de-risking</x:v>
      </x:c>
      <x:c r="B44" s="26" t="str">
        <x:v>Reducing investment risk as expected withdrawal approaches.</x:v>
      </x:c>
      <x:c r="C44" s="26" t="str">
        <x:v>Asset-allocation change near use date.</x:v>
      </x:c>
      <x:c r="D44" s="26" t="str">
        <x:v>Limits late market-loss exposure.</x:v>
      </x:c>
      <x:c r="E44" s="26" t="str">
        <x:v>Assuming it eliminates losses.</x:v>
      </x:c>
      <x:c r="F44" s="26" t="str">
        <x:v>Years 4 and 5 return reductions.</x:v>
      </x:c>
      <x:c r="G44" s="26" t="str">
        <x:v>Assumptions</x:v>
      </x:c>
      <x:c r="H44" s="26" t="str">
        <x:v>E59</x:v>
      </x:c>
      <x:c r="I44" s="26" t="str">
        <x:v>Scenario</x:v>
      </x:c>
    </x:row>
    <x:row r="45">
      <x:c r="A45" s="26" t="str">
        <x:v>Counterfactual</x:v>
      </x:c>
      <x:c r="B45" s="26" t="str">
        <x:v>What would have happened without He Ara Angitū.</x:v>
      </x:c>
      <x:c r="C45" s="26" t="str">
        <x:v>Reference path used to estimate additional effects.</x:v>
      </x:c>
      <x:c r="D45" s="26" t="str">
        <x:v>Essential for causal claims.</x:v>
      </x:c>
      <x:c r="E45" s="26" t="str">
        <x:v>Comparing participants only with their own before/after outcome.</x:v>
      </x:c>
      <x:c r="F45" s="26" t="str">
        <x:v>Pilot comparison group.</x:v>
      </x:c>
      <x:c r="G45" s="26" t="str">
        <x:v>Stage 1 - Pilot</x:v>
      </x:c>
      <x:c r="H45" s="26" t="str">
        <x:v>A1</x:v>
      </x:c>
      <x:c r="I45" s="26" t="str">
        <x:v>Treasury/evaluation</x:v>
      </x:c>
    </x:row>
    <x:row r="46">
      <x:c r="A46" s="26" t="str">
        <x:v>Baseline</x:v>
      </x:c>
      <x:c r="B46" s="26" t="str">
        <x:v>Starting rate before the programme effect.</x:v>
      </x:c>
      <x:c r="C46" s="26" t="str">
        <x:v>Observed or estimated counterfactual level.</x:v>
      </x:c>
      <x:c r="D46" s="26" t="str">
        <x:v>Determines absolute change from relative effects.</x:v>
      </x:c>
      <x:c r="E46" s="26" t="str">
        <x:v>Confusing baseline risk with point-in-time NEET rate.</x:v>
      </x:c>
      <x:c r="F46" s="26" t="str">
        <x:v>15% sustained-risk scenario.</x:v>
      </x:c>
      <x:c r="G46" s="26" t="str">
        <x:v>Assumptions</x:v>
      </x:c>
      <x:c r="H46" s="26" t="str">
        <x:v>E40</x:v>
      </x:c>
      <x:c r="I46" s="26" t="str">
        <x:v>Model</x:v>
      </x:c>
    </x:row>
    <x:row r="47">
      <x:c r="A47" s="26" t="str">
        <x:v>Additionality</x:v>
      </x:c>
      <x:c r="B47" s="26" t="str">
        <x:v>Outcome caused beyond the counterfactual.</x:v>
      </x:c>
      <x:c r="C47" s="26" t="str">
        <x:v>Difference attributable to intervention.</x:v>
      </x:c>
      <x:c r="D47" s="26" t="str">
        <x:v>Only additional outcomes are benefits.</x:v>
      </x:c>
      <x:c r="E47" s="26" t="str">
        <x:v>Counting outcomes that would happen anyway.</x:v>
      </x:c>
      <x:c r="F47" s="26" t="str">
        <x:v>Pilot causal effect.</x:v>
      </x:c>
      <x:c r="G47" s="26" t="str">
        <x:v>Stage-Gate Tests</x:v>
      </x:c>
      <x:c r="H47" s="26" t="str">
        <x:v>A5</x:v>
      </x:c>
      <x:c r="I47" s="26" t="str">
        <x:v>Treasury guidance</x:v>
      </x:c>
    </x:row>
    <x:row r="48">
      <x:c r="A48" s="26" t="str">
        <x:v>Attribution</x:v>
      </x:c>
      <x:c r="B48" s="26" t="str">
        <x:v>Share of observed change caused by the programme.</x:v>
      </x:c>
      <x:c r="C48" s="26" t="str">
        <x:v>Causal contribution after comparison with counterfactual.</x:v>
      </x:c>
      <x:c r="D48" s="26" t="str">
        <x:v>Major earnings-benefit driver.</x:v>
      </x:c>
      <x:c r="E48" s="26" t="str">
        <x:v>Assuming all observed change is programme-caused.</x:v>
      </x:c>
      <x:c r="F48" s="26" t="str">
        <x:v>60% central attribution scenario.</x:v>
      </x:c>
      <x:c r="G48" s="26" t="str">
        <x:v>Assumptions</x:v>
      </x:c>
      <x:c r="H48" s="26" t="str">
        <x:v>E142</x:v>
      </x:c>
      <x:c r="I48" s="26" t="str">
        <x:v>Scenario</x:v>
      </x:c>
    </x:row>
    <x:row r="49">
      <x:c r="A49" s="26" t="str">
        <x:v>Affected share</x:v>
      </x:c>
      <x:c r="B49" s="26" t="str">
        <x:v>Share of broad cohort receiving the modelled earnings effect.</x:v>
      </x:c>
      <x:c r="C49" s="26" t="str">
        <x:v>Population exposure parameter.</x:v>
      </x:c>
      <x:c r="D49" s="26" t="str">
        <x:v>Prevents uniform cohort-wide claims.</x:v>
      </x:c>
      <x:c r="E49" s="26" t="str">
        <x:v>Applying the uplift to all students.</x:v>
      </x:c>
      <x:c r="F49" s="26" t="str">
        <x:v>50% central affected share.</x:v>
      </x:c>
      <x:c r="G49" s="26" t="str">
        <x:v>Assumptions</x:v>
      </x:c>
      <x:c r="H49" s="26" t="str">
        <x:v>E134</x:v>
      </x:c>
      <x:c r="I49" s="26" t="str">
        <x:v>Scenario</x:v>
      </x:c>
    </x:row>
    <x:row r="50">
      <x:c r="A50" s="26" t="str">
        <x:v>Persistence</x:v>
      </x:c>
      <x:c r="B50" s="26" t="str">
        <x:v>Share of effect continuing through time.</x:v>
      </x:c>
      <x:c r="C50" s="26" t="str">
        <x:v>Long-run retention after fade-out.</x:v>
      </x:c>
      <x:c r="D50" s="26" t="str">
        <x:v>Drives lifetime benefits.</x:v>
      </x:c>
      <x:c r="E50" s="26" t="str">
        <x:v>Assuming short-term change lasts for life.</x:v>
      </x:c>
      <x:c r="F50" s="26" t="str">
        <x:v>80% central persistence.</x:v>
      </x:c>
      <x:c r="G50" s="26" t="str">
        <x:v>Assumptions</x:v>
      </x:c>
      <x:c r="H50" s="26" t="str">
        <x:v>E143</x:v>
      </x:c>
      <x:c r="I50" s="26" t="str">
        <x:v>Scenario</x:v>
      </x:c>
    </x:row>
    <x:row r="51">
      <x:c r="A51" s="26" t="str">
        <x:v>Fade-out</x:v>
      </x:c>
      <x:c r="B51" s="26" t="str">
        <x:v>Reduction in effect over time.</x:v>
      </x:c>
      <x:c r="C51" s="26" t="str">
        <x:v>One minus persistence where defined.</x:v>
      </x:c>
      <x:c r="D51" s="26" t="str">
        <x:v>Makes long-run modelling cautious.</x:v>
      </x:c>
      <x:c r="E51" s="26" t="str">
        <x:v>Ignoring declining effects.</x:v>
      </x:c>
      <x:c r="F51" s="26" t="str">
        <x:v>Persistence/fade-out factor.</x:v>
      </x:c>
      <x:c r="G51" s="26" t="str">
        <x:v>Human Capital &amp; Earnings</x:v>
      </x:c>
      <x:c r="H51" s="26" t="str">
        <x:v>B35</x:v>
      </x:c>
      <x:c r="I51" s="26" t="str">
        <x:v>Scenario</x:v>
      </x:c>
    </x:row>
    <x:row r="52">
      <x:c r="A52" s="26" t="str">
        <x:v>Deadweight</x:v>
      </x:c>
      <x:c r="B52" s="26" t="str">
        <x:v>Outcomes that would occur without the programme.</x:v>
      </x:c>
      <x:c r="C52" s="26" t="str">
        <x:v>Counterfactual benefit removed from gross effect.</x:v>
      </x:c>
      <x:c r="D52" s="26" t="str">
        <x:v>Prevents overclaiming.</x:v>
      </x:c>
      <x:c r="E52" s="26" t="str">
        <x:v>Treating all positive outcomes as additional.</x:v>
      </x:c>
      <x:c r="F52" s="26" t="str">
        <x:v>15% central adjustment.</x:v>
      </x:c>
      <x:c r="G52" s="26" t="str">
        <x:v>Assumptions</x:v>
      </x:c>
      <x:c r="H52" s="26" t="str">
        <x:v>E144</x:v>
      </x:c>
      <x:c r="I52" s="26" t="str">
        <x:v>Scenario</x:v>
      </x:c>
    </x:row>
    <x:row r="53">
      <x:c r="A53" s="26" t="str">
        <x:v>Displacement</x:v>
      </x:c>
      <x:c r="B53" s="26" t="str">
        <x:v>Programme outcomes replacing outcomes for others.</x:v>
      </x:c>
      <x:c r="C53" s="26" t="str">
        <x:v>Labour-market substitution adjustment.</x:v>
      </x:c>
      <x:c r="D53" s="26" t="str">
        <x:v>Prevents gross employment gains becoming net national gains.</x:v>
      </x:c>
      <x:c r="E53" s="26" t="str">
        <x:v>Ignoring competition for fixed jobs.</x:v>
      </x:c>
      <x:c r="F53" s="26" t="str">
        <x:v>5% worker displacement.</x:v>
      </x:c>
      <x:c r="G53" s="26" t="str">
        <x:v>Assumptions</x:v>
      </x:c>
      <x:c r="H53" s="26" t="str">
        <x:v>E145</x:v>
      </x:c>
      <x:c r="I53" s="26" t="str">
        <x:v>Scenario</x:v>
      </x:c>
    </x:row>
    <x:row r="54">
      <x:c r="A54" s="26" t="str">
        <x:v>General-equilibrium effect</x:v>
      </x:c>
      <x:c r="B54" s="26" t="str">
        <x:v>Wider market response to large-scale change.</x:v>
      </x:c>
      <x:c r="C54" s="26" t="str">
        <x:v>Adjustment for wages, supply, automation, capacity and substitution.</x:v>
      </x:c>
      <x:c r="D54" s="26" t="str">
        <x:v>Important at national scale.</x:v>
      </x:c>
      <x:c r="E54" s="26" t="str">
        <x:v>Assuming local pilot effects scale unchanged.</x:v>
      </x:c>
      <x:c r="F54" s="26" t="str">
        <x:v>5% central haircut.</x:v>
      </x:c>
      <x:c r="G54" s="26" t="str">
        <x:v>Assumptions</x:v>
      </x:c>
      <x:c r="H54" s="26" t="str">
        <x:v>E146</x:v>
      </x:c>
      <x:c r="I54" s="26" t="str">
        <x:v>Scenario</x:v>
      </x:c>
    </x:row>
    <x:row r="55">
      <x:c r="A55" s="26" t="str">
        <x:v>Sensitivity</x:v>
      </x:c>
      <x:c r="B55" s="26" t="str">
        <x:v>Result recalculated under a changed assumption.</x:v>
      </x:c>
      <x:c r="C55" s="26" t="str">
        <x:v>Analytical test, not forecast.</x:v>
      </x:c>
      <x:c r="D55" s="26" t="str">
        <x:v>Shows robustness and key drivers.</x:v>
      </x:c>
      <x:c r="E55" s="26" t="str">
        <x:v>Calling high/low cases probabilities.</x:v>
      </x:c>
      <x:c r="F55" s="26" t="str">
        <x:v>2%, 4%, 8% discount views.</x:v>
      </x:c>
      <x:c r="G55" s="26" t="str">
        <x:v>Human Capital &amp; Earnings</x:v>
      </x:c>
      <x:c r="H55" s="26" t="str">
        <x:v>J99</x:v>
      </x:c>
      <x:c r="I55" s="26" t="str">
        <x:v>Model</x:v>
      </x:c>
    </x:row>
    <x:row r="56">
      <x:c r="A56" s="26" t="str">
        <x:v>Scenario</x:v>
      </x:c>
      <x:c r="B56" s="26" t="str">
        <x:v>Internally consistent set of assumptions.</x:v>
      </x:c>
      <x:c r="C56" s="26" t="str">
        <x:v>Conditional analytical case.</x:v>
      </x:c>
      <x:c r="D56" s="26" t="str">
        <x:v>Supports design comparison.</x:v>
      </x:c>
      <x:c r="E56" s="26" t="str">
        <x:v>Calling the central scenario proven.</x:v>
      </x:c>
      <x:c r="F56" s="26" t="str">
        <x:v>Core plus targeted structure.</x:v>
      </x:c>
      <x:c r="G56" s="26" t="str">
        <x:v>Delivery Scenarios</x:v>
      </x:c>
      <x:c r="H56" s="26" t="str">
        <x:v>A21</x:v>
      </x:c>
      <x:c r="I56" s="26" t="str">
        <x:v>Model</x:v>
      </x:c>
    </x:row>
    <x:row r="57">
      <x:c r="A57" s="26" t="str">
        <x:v>Low case</x:v>
      </x:c>
      <x:c r="B57" s="26" t="str">
        <x:v>Lower-bound analytical assumptions.</x:v>
      </x:c>
      <x:c r="C57" s="26" t="str">
        <x:v>Sensitivity designed to test downside.</x:v>
      </x:c>
      <x:c r="D57" s="26" t="str">
        <x:v>Shows risk.</x:v>
      </x:c>
      <x:c r="E57" s="26" t="str">
        <x:v>Assuming it has a stated probability.</x:v>
      </x:c>
      <x:c r="F57" s="26" t="str">
        <x:v>Low cost/effect cases.</x:v>
      </x:c>
      <x:c r="G57" s="26" t="str">
        <x:v>Assumptions</x:v>
      </x:c>
      <x:c r="H57" s="26" t="str">
        <x:v>D4</x:v>
      </x:c>
      <x:c r="I57" s="26" t="str">
        <x:v>Model</x:v>
      </x:c>
    </x:row>
    <x:row r="58">
      <x:c r="A58" s="26" t="str">
        <x:v>Central case</x:v>
      </x:c>
      <x:c r="B58" s="26" t="str">
        <x:v>Reference scenario, not a proven forecast.</x:v>
      </x:c>
      <x:c r="C58" s="26" t="str">
        <x:v>Middle set of model inputs.</x:v>
      </x:c>
      <x:c r="D58" s="26" t="str">
        <x:v>Provides a consistent comparator.</x:v>
      </x:c>
      <x:c r="E58" s="26" t="str">
        <x:v>Calling it the most likely measured outcome.</x:v>
      </x:c>
      <x:c r="F58" s="26" t="str">
        <x:v>Central column assumptions.</x:v>
      </x:c>
      <x:c r="G58" s="26" t="str">
        <x:v>Assumptions</x:v>
      </x:c>
      <x:c r="H58" s="26" t="str">
        <x:v>E4</x:v>
      </x:c>
      <x:c r="I58" s="26" t="str">
        <x:v>Model</x:v>
      </x:c>
    </x:row>
    <x:row r="59">
      <x:c r="A59" s="26" t="str">
        <x:v>High case</x:v>
      </x:c>
      <x:c r="B59" s="26" t="str">
        <x:v>Upper analytical assumptions.</x:v>
      </x:c>
      <x:c r="C59" s="26" t="str">
        <x:v>Sensitivity designed to test upside or stress.</x:v>
      </x:c>
      <x:c r="D59" s="26" t="str">
        <x:v>Shows possible range.</x:v>
      </x:c>
      <x:c r="E59" s="26" t="str">
        <x:v>Treating it as guaranteed maximum.</x:v>
      </x:c>
      <x:c r="F59" s="26" t="str">
        <x:v>High column assumptions.</x:v>
      </x:c>
      <x:c r="G59" s="26" t="str">
        <x:v>Assumptions</x:v>
      </x:c>
      <x:c r="H59" s="26" t="str">
        <x:v>F4</x:v>
      </x:c>
      <x:c r="I59" s="26" t="str">
        <x:v>Model</x:v>
      </x:c>
    </x:row>
    <x:row r="60">
      <x:c r="A60" s="26" t="str">
        <x:v>Break-even</x:v>
      </x:c>
      <x:c r="B60" s="26" t="str">
        <x:v>Input level at which included benefits equal included costs.</x:v>
      </x:c>
      <x:c r="C60" s="26" t="str">
        <x:v>Reverse-calculated threshold for BCR or fiscal coverage of 1.0.</x:v>
      </x:c>
      <x:c r="D60" s="26" t="str">
        <x:v>Sets pilot evidence hurdle.</x:v>
      </x:c>
      <x:c r="E60" s="26" t="str">
        <x:v>Calling it an expected effect.</x:v>
      </x:c>
      <x:c r="F60" s="26" t="str">
        <x:v>Mature social break-even uplift.</x:v>
      </x:c>
      <x:c r="G60" s="26" t="str">
        <x:v>Human Capital &amp; Earnings</x:v>
      </x:c>
      <x:c r="H60" s="26" t="str">
        <x:v>J116</x:v>
      </x:c>
      <x:c r="I60" s="26" t="str">
        <x:v>Model</x:v>
      </x:c>
    </x:row>
    <x:row r="61">
      <x:c r="A61" s="26" t="str">
        <x:v>Whole cohort</x:v>
      </x:c>
      <x:c r="B61" s="26" t="str">
        <x:v>One annual eligible entrant/exit cohort.</x:v>
      </x:c>
      <x:c r="C61" s="26" t="str">
        <x:v>Eligible stock divided by programme years.</x:v>
      </x:c>
      <x:c r="D61" s="26" t="str">
        <x:v>Aligns mature annual cost and lifetime benefit.</x:v>
      </x:c>
      <x:c r="E61" s="26" t="str">
        <x:v>Using the five-year active stock as an annual benefit cohort.</x:v>
      </x:c>
      <x:c r="F61" s="26" t="str">
        <x:v>62,348.6 people.</x:v>
      </x:c>
      <x:c r="G61" s="26" t="str">
        <x:v>Human Capital &amp; Earnings</x:v>
      </x:c>
      <x:c r="H61" s="26" t="str">
        <x:v>B29</x:v>
      </x:c>
      <x:c r="I61" s="26" t="str">
        <x:v>Model</x:v>
      </x:c>
    </x:row>
    <x:row r="62">
      <x:c r="A62" s="26" t="str">
        <x:v>Broad non-overlap cohort</x:v>
      </x:c>
      <x:c r="B62" s="26" t="str">
        <x:v>Annual cohort after removing separately valued sustained-NEET cases.</x:v>
      </x:c>
      <x:c r="C62" s="26" t="str">
        <x:v>Population eligible for broad earnings modelling without overlap.</x:v>
      </x:c>
      <x:c r="D62" s="26" t="str">
        <x:v>Prevents double counting.</x:v>
      </x:c>
      <x:c r="E62" s="26" t="str">
        <x:v>Adding broad earnings to the same high-risk cases.</x:v>
      </x:c>
      <x:c r="F62" s="26" t="str">
        <x:v>60,945.8 people.</x:v>
      </x:c>
      <x:c r="G62" s="26" t="str">
        <x:v>Human Capital &amp; Earnings</x:v>
      </x:c>
      <x:c r="H62" s="26" t="str">
        <x:v>B31</x:v>
      </x:c>
      <x:c r="I62" s="26" t="str">
        <x:v>Model</x:v>
      </x:c>
    </x:row>
    <x:row r="63">
      <x:c r="A63" s="26" t="str">
        <x:v>Effective affected population</x:v>
      </x:c>
      <x:c r="B63" s="26" t="str">
        <x:v>Population remaining after affected share and causal/economic adjustments.</x:v>
      </x:c>
      <x:c r="C63" s="26" t="str">
        <x:v>Adjusted population before or after employment, as labelled.</x:v>
      </x:c>
      <x:c r="D63" s="26" t="str">
        <x:v>Defines who receives the uplift.</x:v>
      </x:c>
      <x:c r="E63" s="26" t="str">
        <x:v>Assuming every student receives the uplift.</x:v>
      </x:c>
      <x:c r="F63" s="26" t="str">
        <x:v>8,583.9 effective affected employed people.</x:v>
      </x:c>
      <x:c r="G63" s="26" t="str">
        <x:v>Human Capital &amp; Earnings</x:v>
      </x:c>
      <x:c r="H63" s="26" t="str">
        <x:v>B41</x:v>
      </x:c>
      <x:c r="I63" s="26" t="str">
        <x:v>Model</x:v>
      </x:c>
    </x:row>
    <x:row r="64">
      <x:c r="A64" s="26" t="str">
        <x:v>Cohort-equivalent uplift</x:v>
      </x:c>
      <x:c r="B64" s="26" t="str">
        <x:v>Affected-population earnings value expressed as an equivalent average across a broader cohort.</x:v>
      </x:c>
      <x:c r="C64" s="26" t="str">
        <x:v>Value-preserving translation using denominator and employment basis.</x:v>
      </x:c>
      <x:c r="D64" s="26" t="str">
        <x:v>Supports honest public explanation.</x:v>
      </x:c>
      <x:c r="E64" s="26" t="str">
        <x:v>Treating it as a measured uniform effect.</x:v>
      </x:c>
      <x:c r="F64" s="26" t="str">
        <x:v>1% affected uplift translated across full cohort.</x:v>
      </x:c>
      <x:c r="G64" s="26" t="str">
        <x:v>Earnings Uplift Bridge</x:v>
      </x:c>
      <x:c r="H64" s="26" t="str">
        <x:v>D24</x:v>
      </x:c>
      <x:c r="I64" s="26" t="str">
        <x:v>Model</x:v>
      </x:c>
    </x:row>
    <x:row r="65">
      <x:c r="A65" s="26" t="str">
        <x:v>Sustained NEET</x:v>
      </x:c>
      <x:c r="B65" s="26" t="str">
        <x:v>Longer-term disengagement from employment, education or training, as defined for evaluation.</x:v>
      </x:c>
      <x:c r="C65" s="26" t="str">
        <x:v>High-risk outcome distinct from point-in-time NEET status.</x:v>
      </x:c>
      <x:c r="D65" s="26" t="str">
        <x:v>Retained as one outcome family.</x:v>
      </x:c>
      <x:c r="E65" s="26" t="str">
        <x:v>Assuming every NEET spell is sustained or identical.</x:v>
      </x:c>
      <x:c r="F65" s="26" t="str">
        <x:v>Separately valued cases removed from broad earnings.</x:v>
      </x:c>
      <x:c r="G65" s="26" t="str">
        <x:v>Benefits &amp; BCR</x:v>
      </x:c>
      <x:c r="H65" s="26" t="str">
        <x:v>C18</x:v>
      </x:c>
      <x:c r="I65" s="26" t="str">
        <x:v>Model</x:v>
      </x:c>
    </x:row>
    <x:row r="66">
      <x:c r="A66" s="26" t="str">
        <x:v>Lifetime societal benefit</x:v>
      </x:c>
      <x:c r="B66" s="26" t="str">
        <x:v>Present value of included long-term social effects.</x:v>
      </x:c>
      <x:c r="C66" s="26" t="str">
        <x:v>Discounted benefit over a defined horizon.</x:v>
      </x:c>
      <x:c r="D66" s="26" t="str">
        <x:v>Supports social CBA.</x:v>
      </x:c>
      <x:c r="E66" s="26" t="str">
        <x:v>Calling it annual Crown cash.</x:v>
      </x:c>
      <x:c r="F66" s="26" t="str">
        <x:v>Illustrative Pacheco–Dye lifetime sensitivity.</x:v>
      </x:c>
      <x:c r="G66" s="26" t="str">
        <x:v>Benefits &amp; BCR</x:v>
      </x:c>
      <x:c r="H66" s="26" t="str">
        <x:v>C24</x:v>
      </x:c>
      <x:c r="I66" s="26" t="str">
        <x:v>Low-confidence sensitivity</x:v>
      </x:c>
    </x:row>
    <x:row r="67">
      <x:c r="A67" s="26" t="str">
        <x:v>Justice sensitivity</x:v>
      </x:c>
      <x:c r="B67" s="26" t="str">
        <x:v>Illustrative test of possible justice resource value.</x:v>
      </x:c>
      <x:c r="C67" s="26" t="str">
        <x:v>Scenario applying a small prisoner-year rate to averted cases.</x:v>
      </x:c>
      <x:c r="D67" s="26" t="str">
        <x:v>Shows possible order of magnitude without headline claim.</x:v>
      </x:c>
      <x:c r="E67" s="26" t="str">
        <x:v>Calling it evidence or cashable Corrections saving.</x:v>
      </x:c>
      <x:c r="F67" s="26" t="str">
        <x:v>1% prisoner-year sensitivity.</x:v>
      </x:c>
      <x:c r="G67" s="26" t="str">
        <x:v>Justice Sensitivity</x:v>
      </x:c>
      <x:c r="H67" s="26" t="str">
        <x:v>G7</x:v>
      </x:c>
      <x:c r="I67" s="26" t="str">
        <x:v>Illustrative only</x:v>
      </x:c>
    </x:row>
    <x:row r="68">
      <x:c r="A68" s="26" t="str">
        <x:v>Evidence confidence</x:v>
      </x:c>
      <x:c r="B68" s="26" t="str">
        <x:v>Assessment of source and causal strength.</x:v>
      </x:c>
      <x:c r="C68" s="26" t="str">
        <x:v>Classification from sourced to illustrative.</x:v>
      </x:c>
      <x:c r="D68" s="26" t="str">
        <x:v>Prevents assumptions being mistaken for results.</x:v>
      </x:c>
      <x:c r="E68" s="26" t="str">
        <x:v>Assuming a calculated number is measured evidence.</x:v>
      </x:c>
      <x:c r="F68" s="26" t="str">
        <x:v>Evidence-status columns.</x:v>
      </x:c>
      <x:c r="G68" s="26" t="str">
        <x:v>Source Register</x:v>
      </x:c>
      <x:c r="H68" s="26" t="str">
        <x:v>H4</x:v>
      </x:c>
      <x:c r="I68" s="26" t="str">
        <x:v>Model governance</x:v>
      </x:c>
    </x:row>
    <x:row r="69">
      <x:c r="A69" s="26" t="str">
        <x:v>Validation item</x:v>
      </x:c>
      <x:c r="B69" s="26" t="str">
        <x:v>Question or evidence gap that must be resolved.</x:v>
      </x:c>
      <x:c r="C69" s="26" t="str">
        <x:v>Open issue assigned to owner and stage gate.</x:v>
      </x:c>
      <x:c r="D69" s="26" t="str">
        <x:v>Controls readiness claims.</x:v>
      </x:c>
      <x:c r="E69" s="26" t="str">
        <x:v>Ignoring open critical items.</x:v>
      </x:c>
      <x:c r="F69" s="26" t="str">
        <x:v>Exact eligible cohort remains open.</x:v>
      </x:c>
      <x:c r="G69" s="26" t="str">
        <x:v>Validation Log</x:v>
      </x:c>
      <x:c r="H69" s="26" t="str">
        <x:v>A5</x:v>
      </x:c>
      <x:c r="I69" s="26" t="str">
        <x:v>Model governance</x:v>
      </x:c>
    </x:row>
    <x:row r="70">
      <x:c r="A70" s="26" t="str">
        <x:v>Stop/go threshold</x:v>
      </x:c>
      <x:c r="B70" s="26" t="str">
        <x:v>Pre-agreed rule for proceeding, redesigning or stopping.</x:v>
      </x:c>
      <x:c r="C70" s="26" t="str">
        <x:v>Decision criterion across causal, cost, equity, implementation and harm dimensions.</x:v>
      </x:c>
      <x:c r="D70" s="26" t="str">
        <x:v>Makes each stage earn the right to proceed.</x:v>
      </x:c>
      <x:c r="E70" s="26" t="str">
        <x:v>Treating one positive metric as sufficient.</x:v>
      </x:c>
      <x:c r="F70" s="26" t="str">
        <x:v>Minimum BCR and fiscal coverage.</x:v>
      </x:c>
      <x:c r="G70" s="26" t="str">
        <x:v>Stage-Gate Tests</x:v>
      </x:c>
      <x:c r="H70" s="26" t="str">
        <x:v>A5</x:v>
      </x:c>
      <x:c r="I70" s="26" t="str">
        <x:v>Model</x:v>
      </x:c>
    </x:row>
    <x:row r="71">
      <x:c r="A71" s="26" t="str">
        <x:v>Stage 0</x:v>
      </x:c>
      <x:c r="B71" s="26" t="str">
        <x:v>Feasibility, co-design, legal, data and economic validation stage.</x:v>
      </x:c>
      <x:c r="C71" s="26" t="str">
        <x:v>Pre-pilot development and decision architecture.</x:v>
      </x:c>
      <x:c r="D71" s="26" t="str">
        <x:v>Immediate approval request.</x:v>
      </x:c>
      <x:c r="E71" s="26" t="str">
        <x:v>Treating it as approval for national rollout.</x:v>
      </x:c>
      <x:c r="F71" s="26" t="str">
        <x:v>Central Stage 0 cost.</x:v>
      </x:c>
      <x:c r="G71" s="26" t="str">
        <x:v>Stage 0 - Year 0</x:v>
      </x:c>
      <x:c r="H71" s="26" t="str">
        <x:v>H54</x:v>
      </x:c>
      <x:c r="I71" s="26" t="str">
        <x:v>Policy architecture</x:v>
      </x:c>
    </x:row>
    <x:row r="72">
      <x:c r="A72" s="26" t="str">
        <x:v>Pilot</x:v>
      </x:c>
      <x:c r="B72" s="26" t="str">
        <x:v>Bounded independently evaluated implementation.</x:v>
      </x:c>
      <x:c r="C72" s="26" t="str">
        <x:v>Stage 1 causal and operational test.</x:v>
      </x:c>
      <x:c r="D72" s="26" t="str">
        <x:v>Generates evidence for later decisions.</x:v>
      </x:c>
      <x:c r="E72" s="26" t="str">
        <x:v>Assuming pilot success automatically supports scale.</x:v>
      </x:c>
      <x:c r="F72" s="26" t="str">
        <x:v>Three-year pilot.</x:v>
      </x:c>
      <x:c r="G72" s="26" t="str">
        <x:v>Stage 1 - Pilot</x:v>
      </x:c>
      <x:c r="H72" s="26" t="str">
        <x:v>E6</x:v>
      </x:c>
      <x:c r="I72" s="26" t="str">
        <x:v>Policy architecture</x:v>
      </x:c>
    </x:row>
    <x:row r="73">
      <x:c r="A73" s="26" t="str">
        <x:v>Conditional national rollout</x:v>
      </x:c>
      <x:c r="B73" s="26" t="str">
        <x:v>Scale considered only after thresholds are met.</x:v>
      </x:c>
      <x:c r="C73" s="26" t="str">
        <x:v>Stage 2 contingent implementation.</x:v>
      </x:c>
      <x:c r="D73" s="26" t="str">
        <x:v>Keeps national commitment conditional.</x:v>
      </x:c>
      <x:c r="E73" s="26" t="str">
        <x:v>Treating national model as approved or affordable.</x:v>
      </x:c>
      <x:c r="F73" s="26" t="str">
        <x:v>Mature annual comparator.</x:v>
      </x:c>
      <x:c r="G73" s="26" t="str">
        <x:v>Stage 2 - National</x:v>
      </x:c>
      <x:c r="H73" s="26" t="str">
        <x:v>K48</x:v>
      </x:c>
      <x:c r="I73" s="26" t="str">
        <x:v>Policy architecture</x:v>
      </x:c>
    </x:row>
    <x:row r="75">
      <x:c r="A75" t="str">
        <x:v>Return to: Start Here — Guided Tour</x:v>
      </x:c>
    </x:row>
  </x:sheetData>
  <x:mergeCells>
    <x:mergeCell ref="A1:I1"/>
    <x:mergeCell ref="A2:I2"/>
    <x:mergeCell ref="A75:C75"/>
  </x:mergeCells>
  <x:pageMargins left="0.7" right="0.7" top="0.75" bottom="0.75" header="0.3" footer="0.3"/>
  <x:tableParts count="1">
    <x:tablePart xmlns:r="http://schemas.openxmlformats.org/officeDocument/2006/relationships" r:id="R06e652d4ea5d49cb"/>
  </x:tableParts>
</x:worksheet>
</file>

<file path=xl/worksheets/sheet7.xml><?xml version="1.0" encoding="utf-8"?>
<x:worksheet xmlns:x="http://schemas.openxmlformats.org/spreadsheetml/2006/main">
  <x:sheetViews>
    <x:sheetView showGridLines="0" workbookViewId="0"/>
  </x:sheetViews>
  <x:sheetFormatPr defaultRowHeight="15"/>
  <x:cols>
    <x:col min="1" max="1" width="12" hidden="0" customWidth="1"/>
    <x:col min="2" max="2" width="34" hidden="0" customWidth="1"/>
    <x:col min="3" max="3" width="40" hidden="0" customWidth="1"/>
    <x:col min="4" max="4" width="22" hidden="0" customWidth="1"/>
    <x:col min="5" max="5" width="22" hidden="0" customWidth="1"/>
    <x:col min="6" max="6" width="22" hidden="0" customWidth="1"/>
    <x:col min="7" max="7" width="42" hidden="0" customWidth="1"/>
    <x:col min="8" max="8" width="42" hidden="0" customWidth="1"/>
    <x:col min="9" max="9" width="32" hidden="0" customWidth="1"/>
    <x:col min="10" max="10" width="25" hidden="0" customWidth="1"/>
    <x:col min="11" max="11" width="25" hidden="0" customWidth="1"/>
    <x:col min="12" max="12" width="34" hidden="0" customWidth="1"/>
    <x:col min="13" max="13" width="34" hidden="0" customWidth="1"/>
    <x:col min="14" max="14" width="34" hidden="0" customWidth="1"/>
    <x:col min="15" max="15" width="36" hidden="0" customWidth="1"/>
    <x:col min="16" max="16" width="36" hidden="0" customWidth="1"/>
    <x:col min="17" max="17" width="36" hidden="0" customWidth="1"/>
    <x:col min="18" max="18" width="30" hidden="0" customWidth="1"/>
    <x:col min="19" max="19" width="30" hidden="0" customWidth="1"/>
    <x:col min="20" max="20" width="30" hidden="0" customWidth="1"/>
    <x:col min="21" max="21" width="28" hidden="0" customWidth="1"/>
    <x:col min="22" max="22" width="22" hidden="0" customWidth="1"/>
    <x:col min="23" max="23" width="22" hidden="0" customWidth="1"/>
  </x:cols>
  <x:sheetData>
    <x:row r="1">
      <x:c r="A1" s="1146" t="str">
        <x:v>Formula Dictionary</x:v>
      </x:c>
      <x:c r="B1" s="1146"/>
      <x:c r="C1" s="1146"/>
      <x:c r="D1" s="1146"/>
      <x:c r="E1" s="1146"/>
      <x:c r="F1" s="1146"/>
      <x:c r="G1" s="1146"/>
      <x:c r="H1" s="1146"/>
      <x:c r="I1" s="1146"/>
      <x:c r="J1" s="1146"/>
      <x:c r="K1" s="1146"/>
      <x:c r="L1" s="1146"/>
      <x:c r="M1" s="1146"/>
      <x:c r="N1" s="1146"/>
      <x:c r="O1" s="1146"/>
      <x:c r="P1" s="1146"/>
      <x:c r="Q1" s="1146"/>
      <x:c r="R1" s="1146"/>
      <x:c r="S1" s="1146"/>
      <x:c r="T1" s="1146"/>
      <x:c r="U1" s="1146"/>
      <x:c r="V1" s="1146"/>
      <x:c r="W1" s="1146"/>
    </x:row>
    <x:row r="2">
      <x:c r="A2" s="1140" t="str">
        <x:v>Major calculations translated into plain English. Metric IDs are also used in visible guidance panels, the Professional Metric Index and the private audit.</x:v>
      </x:c>
      <x:c r="B2" s="1140"/>
      <x:c r="C2" s="1140"/>
      <x:c r="D2" s="1140"/>
      <x:c r="E2" s="1140"/>
      <x:c r="F2" s="1140"/>
      <x:c r="G2" s="1140"/>
      <x:c r="H2" s="1140"/>
      <x:c r="I2" s="1140"/>
      <x:c r="J2" s="1140"/>
      <x:c r="K2" s="1140"/>
      <x:c r="L2" s="1140"/>
      <x:c r="M2" s="1140"/>
      <x:c r="N2" s="1140"/>
      <x:c r="O2" s="1140"/>
      <x:c r="P2" s="1140"/>
      <x:c r="Q2" s="1140"/>
      <x:c r="R2" s="1140"/>
      <x:c r="S2" s="1140"/>
      <x:c r="T2" s="1140"/>
      <x:c r="U2" s="1140"/>
      <x:c r="V2" s="1140"/>
      <x:c r="W2" s="1140"/>
    </x:row>
    <x:row r="4">
      <x:c r="A4" s="1138" t="str">
        <x:v>Metric ID</x:v>
      </x:c>
      <x:c r="B4" s="1138" t="str">
        <x:v>Metric name</x:v>
      </x:c>
      <x:c r="C4" s="1138" t="str">
        <x:v>Plain-English question answered</x:v>
      </x:c>
      <x:c r="D4" s="1138" t="str">
        <x:v>Perspective</x:v>
      </x:c>
      <x:c r="E4" s="1138" t="str">
        <x:v>Time period</x:v>
      </x:c>
      <x:c r="F4" s="1138" t="str">
        <x:v>Units</x:v>
      </x:c>
      <x:c r="G4" s="1138" t="str">
        <x:v>Formula in words</x:v>
      </x:c>
      <x:c r="H4" s="1138" t="str">
        <x:v>Mathematical formula</x:v>
      </x:c>
      <x:c r="I4" s="1138" t="str">
        <x:v>Excel formula or location</x:v>
      </x:c>
      <x:c r="J4" s="1138" t="str">
        <x:v>Numerator</x:v>
      </x:c>
      <x:c r="K4" s="1138" t="str">
        <x:v>Denominator</x:v>
      </x:c>
      <x:c r="L4" s="1138" t="str">
        <x:v>Input assumptions</x:v>
      </x:c>
      <x:c r="M4" s="1138" t="str">
        <x:v>Source sheets</x:v>
      </x:c>
      <x:c r="N4" s="1138" t="str">
        <x:v>Output sheets</x:v>
      </x:c>
      <x:c r="O4" s="1138" t="str">
        <x:v>What a higher value means</x:v>
      </x:c>
      <x:c r="P4" s="1138" t="str">
        <x:v>What a lower value means</x:v>
      </x:c>
      <x:c r="Q4" s="1138" t="str">
        <x:v>What the result does not mean</x:v>
      </x:c>
      <x:c r="R4" s="1138" t="str">
        <x:v>Evidence status</x:v>
      </x:c>
      <x:c r="S4" s="1138" t="str">
        <x:v>Main caveat</x:v>
      </x:c>
      <x:c r="T4" s="1138" t="str">
        <x:v>Double-counting control</x:v>
      </x:c>
      <x:c r="U4" s="1138" t="str">
        <x:v>Worked example</x:v>
      </x:c>
      <x:c r="V4" s="1138" t="str">
        <x:v>Relevant sheet</x:v>
      </x:c>
      <x:c r="W4" s="1138" t="str">
        <x:v>Relevant cell</x:v>
      </x:c>
    </x:row>
    <x:row r="5">
      <x:c r="A5" s="26" t="str">
        <x:v>COST-01</x:v>
      </x:c>
      <x:c r="B5" s="26" t="str">
        <x:v>Stage 0 central cost</x:v>
      </x:c>
      <x:c r="C5" s="26" t="str">
        <x:v>What cash is required for feasibility and co-design?</x:v>
      </x:c>
      <x:c r="D5" s="26" t="str">
        <x:v>Crown cash</x:v>
      </x:c>
      <x:c r="E5" s="26" t="str">
        <x:v>Year 0</x:v>
      </x:c>
      <x:c r="F5" s="26" t="str">
        <x:v>NZD</x:v>
      </x:c>
      <x:c r="G5" s="26" t="str">
        <x:v>Sum central line-item costs plus contingency</x:v>
      </x:c>
      <x:c r="H5" s="26" t="str">
        <x:v>Σ central cost lines + contingency</x:v>
      </x:c>
      <x:c r="I5" s="26" t="str">
        <x:v>Stage 0 - Year 0!H54</x:v>
      </x:c>
      <x:c r="J5" s="26" t="str">
        <x:v>Line-item subtotal</x:v>
      </x:c>
      <x:c r="K5" s="26" t="str">
        <x:v>Not applicable</x:v>
      </x:c>
      <x:c r="L5" s="26" t="str">
        <x:v>Assumptions E9:E10; detailed quantities</x:v>
      </x:c>
      <x:c r="M5" s="26" t="str">
        <x:v>Assumptions; Stage 0 - Year 0</x:v>
      </x:c>
      <x:c r="N5" s="26" t="str">
        <x:v>Executive Summary</x:v>
      </x:c>
      <x:c r="O5" s="26" t="str">
        <x:v>Higher means more Stage 0 cash required</x:v>
      </x:c>
      <x:c r="P5" s="26" t="str">
        <x:v>Lower means less initial cash required</x:v>
      </x:c>
      <x:c r="Q5" s="26" t="str">
        <x:v>Does not approve pilot or national rollout</x:v>
      </x:c>
      <x:c r="R5" s="26" t="str">
        <x:v>Calculated from mixed sourced and scenario inputs</x:v>
      </x:c>
      <x:c r="S5" s="26" t="str">
        <x:v>Procurement evidence remains open</x:v>
      </x:c>
      <x:c r="T5" s="26" t="str">
        <x:v>No benefits included</x:v>
      </x:c>
      <x:c r="U5" s="26" t="str">
        <x:v>Live central result</x:v>
      </x:c>
      <x:c r="V5" s="26" t="str">
        <x:v>Stage 0 - Year 0</x:v>
      </x:c>
      <x:c r="W5" s="26" t="str">
        <x:v>H54</x:v>
      </x:c>
    </x:row>
    <x:row r="6">
      <x:c r="A6" s="26" t="str">
        <x:v>COST-02</x:v>
      </x:c>
      <x:c r="B6" s="26" t="str">
        <x:v>Pilot central cost</x:v>
      </x:c>
      <x:c r="C6" s="26" t="str">
        <x:v>What does the bounded three-year pilot cost?</x:v>
      </x:c>
      <x:c r="D6" s="26" t="str">
        <x:v>Crown cash</x:v>
      </x:c>
      <x:c r="E6" s="26" t="str">
        <x:v>Three years</x:v>
      </x:c>
      <x:c r="F6" s="26" t="str">
        <x:v>NZD</x:v>
      </x:c>
      <x:c r="G6" s="26" t="str">
        <x:v>Participation payments plus pilot delivery, evaluation and contingency</x:v>
      </x:c>
      <x:c r="H6" s="26" t="str">
        <x:v>Payments + non-payment cost + contingency</x:v>
      </x:c>
      <x:c r="I6" s="26" t="str">
        <x:v>Stage 1 - Pilot!E6</x:v>
      </x:c>
      <x:c r="J6" s="26" t="str">
        <x:v>Total pilot expenditure</x:v>
      </x:c>
      <x:c r="K6" s="26" t="str">
        <x:v>Not applicable</x:v>
      </x:c>
      <x:c r="L6" s="26" t="str">
        <x:v>Pilot cohort, utilisation, unit costs</x:v>
      </x:c>
      <x:c r="M6" s="26" t="str">
        <x:v>Assumptions; Stage 1 - Pilot</x:v>
      </x:c>
      <x:c r="N6" s="26" t="str">
        <x:v>Executive Summary</x:v>
      </x:c>
      <x:c r="O6" s="26" t="str">
        <x:v>Higher increases evidence-generation cost</x:v>
      </x:c>
      <x:c r="P6" s="26" t="str">
        <x:v>Lower reduces pilot appropriation</x:v>
      </x:c>
      <x:c r="Q6" s="26" t="str">
        <x:v>Does not imply national affordability</x:v>
      </x:c>
      <x:c r="R6" s="26" t="str">
        <x:v>Planning estimate</x:v>
      </x:c>
      <x:c r="S6" s="26" t="str">
        <x:v>Sample and utilisation require validation</x:v>
      </x:c>
      <x:c r="T6" s="26" t="str">
        <x:v>No later benefits netted</x:v>
      </x:c>
      <x:c r="U6" s="26" t="str">
        <x:v>Live central result</x:v>
      </x:c>
      <x:c r="V6" s="26" t="str">
        <x:v>Stage 1 - Pilot</x:v>
      </x:c>
      <x:c r="W6" s="26" t="str">
        <x:v>E6</x:v>
      </x:c>
    </x:row>
    <x:row r="7">
      <x:c r="A7" s="26" t="str">
        <x:v>COST-03</x:v>
      </x:c>
      <x:c r="B7" s="26" t="str">
        <x:v>Mature annual national cost</x:v>
      </x:c>
      <x:c r="C7" s="26" t="str">
        <x:v>What would one mature national operating year cost?</x:v>
      </x:c>
      <x:c r="D7" s="26" t="str">
        <x:v>Crown cash</x:v>
      </x:c>
      <x:c r="E7" s="26" t="str">
        <x:v>Annual steady state</x:v>
      </x:c>
      <x:c r="F7" s="26" t="str">
        <x:v>NZD/year</x:v>
      </x:c>
      <x:c r="G7" s="26" t="str">
        <x:v>Payments plus operating costs and contingency</x:v>
      </x:c>
      <x:c r="H7" s="26" t="str">
        <x:v>Participant payments + non-payment costs + contingency</x:v>
      </x:c>
      <x:c r="I7" s="26" t="str">
        <x:v>Stage 2 - National!K48</x:v>
      </x:c>
      <x:c r="J7" s="26" t="str">
        <x:v>Mature annual programme cost</x:v>
      </x:c>
      <x:c r="K7" s="26" t="str">
        <x:v>Not applicable</x:v>
      </x:c>
      <x:c r="L7" s="26" t="str">
        <x:v>Eligible stock, earned share, payment rate, operating costs</x:v>
      </x:c>
      <x:c r="M7" s="26" t="str">
        <x:v>Assumptions; Stage 2 - National</x:v>
      </x:c>
      <x:c r="N7" s="26" t="str">
        <x:v>Executive Summary; Delivery Scenarios</x:v>
      </x:c>
      <x:c r="O7" s="26" t="str">
        <x:v>Higher worsens affordability and break-even</x:v>
      </x:c>
      <x:c r="P7" s="26" t="str">
        <x:v>Lower improves affordability</x:v>
      </x:c>
      <x:c r="Q7" s="26" t="str">
        <x:v>Not a current funding request</x:v>
      </x:c>
      <x:c r="R7" s="26" t="str">
        <x:v>Planning comparator</x:v>
      </x:c>
      <x:c r="S7" s="26" t="str">
        <x:v>Eligible cohort and delivery architecture unresolved</x:v>
      </x:c>
      <x:c r="T7" s="26" t="str">
        <x:v>Aligned with one annual entrant cohort for benefit comparison</x:v>
      </x:c>
      <x:c r="U7" s="26" t="str">
        <x:v>Live central result</x:v>
      </x:c>
      <x:c r="V7" s="26" t="str">
        <x:v>Stage 2 - National</x:v>
      </x:c>
      <x:c r="W7" s="26" t="str">
        <x:v>K48</x:v>
      </x:c>
    </x:row>
    <x:row r="8">
      <x:c r="A8" s="26" t="str">
        <x:v>LC-01</x:v>
      </x:c>
      <x:c r="B8" s="26" t="str">
        <x:v>Learning Capital contribution</x:v>
      </x:c>
      <x:c r="C8" s="26" t="str">
        <x:v>How much protected capital is contributed for a participant?</x:v>
      </x:c>
      <x:c r="D8" s="26" t="str">
        <x:v>Participant</x:v>
      </x:c>
      <x:c r="E8" s="26" t="str">
        <x:v>Five school years</x:v>
      </x:c>
      <x:c r="F8" s="26" t="str">
        <x:v>NZD/person</x:v>
      </x:c>
      <x:c r="G8" s="26" t="str">
        <x:v>Half of verified participation payments over five years</x:v>
      </x:c>
      <x:c r="H8" s="26" t="str">
        <x:v>Annual payment × 50% × years</x:v>
      </x:c>
      <x:c r="I8" s="26" t="str">
        <x:v>Learning Capital &amp; ROI!C23</x:v>
      </x:c>
      <x:c r="J8" s="26" t="str">
        <x:v>Protected contribution</x:v>
      </x:c>
      <x:c r="K8" s="26" t="str">
        <x:v>Not applicable</x:v>
      </x:c>
      <x:c r="L8" s="26" t="str">
        <x:v>Payment, earned share, years</x:v>
      </x:c>
      <x:c r="M8" s="26" t="str">
        <x:v>Assumptions; Learning Capital &amp; ROI</x:v>
      </x:c>
      <x:c r="N8" s="26" t="str">
        <x:v>Executive Summary</x:v>
      </x:c>
      <x:c r="O8" s="26" t="str">
        <x:v>Higher increases protected capital and programme cost</x:v>
      </x:c>
      <x:c r="P8" s="26" t="str">
        <x:v>Lower reduces both</x:v>
      </x:c>
      <x:c r="Q8" s="26" t="str">
        <x:v>Not investment gain or Crown saving</x:v>
      </x:c>
      <x:c r="R8" s="26" t="str">
        <x:v>Policy formula</x:v>
      </x:c>
      <x:c r="S8" s="26" t="str">
        <x:v>Actual participation varies</x:v>
      </x:c>
      <x:c r="T8" s="26" t="str">
        <x:v>Not added to debt avoided</x:v>
      </x:c>
      <x:c r="U8" s="26" t="str">
        <x:v>Live central result</x:v>
      </x:c>
      <x:c r="V8" s="26" t="str">
        <x:v>Learning Capital &amp; ROI</x:v>
      </x:c>
      <x:c r="W8" s="26" t="str">
        <x:v>C23</x:v>
      </x:c>
    </x:row>
    <x:row r="9">
      <x:c r="A9" s="26" t="str">
        <x:v>LC-02</x:v>
      </x:c>
      <x:c r="B9" s="26" t="str">
        <x:v>Closing nominal account balance</x:v>
      </x:c>
      <x:c r="C9" s="26" t="str">
        <x:v>What might the protected account contain after investment?</x:v>
      </x:c>
      <x:c r="D9" s="26" t="str">
        <x:v>Participant</x:v>
      </x:c>
      <x:c r="E9" s="26" t="str">
        <x:v>End of accumulation</x:v>
      </x:c>
      <x:c r="F9" s="26" t="str">
        <x:v>NZD/person</x:v>
      </x:c>
      <x:c r="G9" s="26" t="str">
        <x:v>Contributions plus net returns after fees, tax and de-risking</x:v>
      </x:c>
      <x:c r="H9" s="26" t="str">
        <x:v>Opening balance + contribution + return</x:v>
      </x:c>
      <x:c r="I9" s="26" t="str">
        <x:v>Learning Capital &amp; ROI!C26</x:v>
      </x:c>
      <x:c r="J9" s="26" t="str">
        <x:v>Closing account asset</x:v>
      </x:c>
      <x:c r="K9" s="26" t="str">
        <x:v>Not applicable</x:v>
      </x:c>
      <x:c r="L9" s="26" t="str">
        <x:v>Contributions, returns, fees, tax, de-risking</x:v>
      </x:c>
      <x:c r="M9" s="26" t="str">
        <x:v>Assumptions; Learning Capital &amp; ROI</x:v>
      </x:c>
      <x:c r="N9" s="26" t="str">
        <x:v>Executive Summary</x:v>
      </x:c>
      <x:c r="O9" s="26" t="str">
        <x:v>Higher gives more participant financial capacity</x:v>
      </x:c>
      <x:c r="P9" s="26" t="str">
        <x:v>Lower gives less capacity</x:v>
      </x:c>
      <x:c r="Q9" s="26" t="str">
        <x:v>Not guaranteed and not free national benefit</x:v>
      </x:c>
      <x:c r="R9" s="26" t="str">
        <x:v>Scenario-based</x:v>
      </x:c>
      <x:c r="S9" s="26" t="str">
        <x:v>Market returns and legal structure uncertain</x:v>
      </x:c>
      <x:c r="T9" s="26" t="str">
        <x:v>Account value not stacked with debt avoided</x:v>
      </x:c>
      <x:c r="U9" s="26" t="str">
        <x:v>Live central result</x:v>
      </x:c>
      <x:c r="V9" s="26" t="str">
        <x:v>Learning Capital &amp; ROI</x:v>
      </x:c>
      <x:c r="W9" s="26" t="str">
        <x:v>C26</x:v>
      </x:c>
    </x:row>
    <x:row r="10">
      <x:c r="A10" s="26" t="str">
        <x:v>FISC-01</x:v>
      </x:c>
      <x:c r="B10" s="26" t="str">
        <x:v>Fair-value cost avoided</x:v>
      </x:c>
      <x:c r="C10" s="26" t="str">
        <x:v>What expected Crown loan cost might genuine borrowing displacement avoid?</x:v>
      </x:c>
      <x:c r="D10" s="26" t="str">
        <x:v>Crown fiscal</x:v>
      </x:c>
      <x:c r="E10" s="26" t="str">
        <x:v>Cohort lifetime</x:v>
      </x:c>
      <x:c r="F10" s="26" t="str">
        <x:v>NZD/cohort</x:v>
      </x:c>
      <x:c r="G10" s="26" t="str">
        <x:v>Gross lending displaced × official initial fair-value cost rate</x:v>
      </x:c>
      <x:c r="H10" s="26" t="str">
        <x:v>Displaced principal × 34.24%</x:v>
      </x:c>
      <x:c r="I10" s="26" t="str">
        <x:v>Cohort Bridge!D28</x:v>
      </x:c>
      <x:c r="J10" s="26" t="str">
        <x:v>Official fair-value cost avoided</x:v>
      </x:c>
      <x:c r="K10" s="26" t="str">
        <x:v>Not applicable</x:v>
      </x:c>
      <x:c r="L10" s="26" t="str">
        <x:v>Withdrawal, borrowing probability, displacement factor, official rate</x:v>
      </x:c>
      <x:c r="M10" s="26" t="str">
        <x:v>Learning Capital &amp; ROI; Cohort Bridge</x:v>
      </x:c>
      <x:c r="N10" s="26" t="str">
        <x:v>Executive Summary</x:v>
      </x:c>
      <x:c r="O10" s="26" t="str">
        <x:v>Higher improves fiscal offset</x:v>
      </x:c>
      <x:c r="P10" s="26" t="str">
        <x:v>Lower reduces offset</x:v>
      </x:c>
      <x:c r="Q10" s="26" t="str">
        <x:v>Not equal to gross loan principal</x:v>
      </x:c>
      <x:c r="R10" s="26" t="str">
        <x:v>Calculated from official rate and scenario displacement</x:v>
      </x:c>
      <x:c r="S10" s="26" t="str">
        <x:v>Borrowing counterfactual unproven</x:v>
      </x:c>
      <x:c r="T10" s="26" t="str">
        <x:v>Fair-value method counted once</x:v>
      </x:c>
      <x:c r="U10" s="26" t="str">
        <x:v>Live central result</x:v>
      </x:c>
      <x:c r="V10" s="26" t="str">
        <x:v>Cohort Bridge</x:v>
      </x:c>
      <x:c r="W10" s="26" t="str">
        <x:v>D28</x:v>
      </x:c>
    </x:row>
    <x:row r="11">
      <x:c r="A11" s="26" t="str">
        <x:v>FISC-02</x:v>
      </x:c>
      <x:c r="B11" s="26" t="str">
        <x:v>Net Learning Capital Crown offset</x:v>
      </x:c>
      <x:c r="C11" s="26" t="str">
        <x:v>What remains after fair-value benefit and consequential costs?</x:v>
      </x:c>
      <x:c r="D11" s="26" t="str">
        <x:v>Crown fiscal</x:v>
      </x:c>
      <x:c r="E11" s="26" t="str">
        <x:v>Cohort lifetime PV</x:v>
      </x:c>
      <x:c r="F11" s="26" t="str">
        <x:v>NZD PV/cohort</x:v>
      </x:c>
      <x:c r="G11" s="26" t="str">
        <x:v>Fair-value cost avoided less administration and induced-study cost</x:v>
      </x:c>
      <x:c r="H11" s="26" t="str">
        <x:v>Fair-value offset − admin − induced study</x:v>
      </x:c>
      <x:c r="I11" s="26" t="str">
        <x:v>Cohort Bridge!D30</x:v>
      </x:c>
      <x:c r="J11" s="26" t="str">
        <x:v>Net Crown fiscal offset</x:v>
      </x:c>
      <x:c r="K11" s="26" t="str">
        <x:v>Not applicable</x:v>
      </x:c>
      <x:c r="L11" s="26" t="str">
        <x:v>Account utilisation, fair-value rate, administration, study cost</x:v>
      </x:c>
      <x:c r="M11" s="26" t="str">
        <x:v>Cohort Bridge</x:v>
      </x:c>
      <x:c r="N11" s="26" t="str">
        <x:v>Executive Summary; Benefits &amp; BCR</x:v>
      </x:c>
      <x:c r="O11" s="26" t="str">
        <x:v>Higher improves fiscal coverage</x:v>
      </x:c>
      <x:c r="P11" s="26" t="str">
        <x:v>Negative means the mechanism adds Crown cost</x:v>
      </x:c>
      <x:c r="Q11" s="26" t="str">
        <x:v>Does not reduce programme-payment appropriation</x:v>
      </x:c>
      <x:c r="R11" s="26" t="str">
        <x:v>Scenario-based</x:v>
      </x:c>
      <x:c r="S11" s="26" t="str">
        <x:v>Consequential costs are uncertain</x:v>
      </x:c>
      <x:c r="T11" s="26" t="str">
        <x:v>Gross principal excluded</x:v>
      </x:c>
      <x:c r="U11" s="26" t="str">
        <x:v>Live central result</x:v>
      </x:c>
      <x:c r="V11" s="26" t="str">
        <x:v>Cohort Bridge</x:v>
      </x:c>
      <x:c r="W11" s="26" t="str">
        <x:v>D30</x:v>
      </x:c>
    </x:row>
    <x:row r="12">
      <x:c r="A12" s="26" t="str">
        <x:v>HC-01</x:v>
      </x:c>
      <x:c r="B12" s="26" t="str">
        <x:v>Effective affected employed population</x:v>
      </x:c>
      <x:c r="C12" s="26" t="str">
        <x:v>How many people receive the modelled earnings uplift?</x:v>
      </x:c>
      <x:c r="D12" s="26" t="str">
        <x:v>National social and Crown tax</x:v>
      </x:c>
      <x:c r="E12" s="26" t="str">
        <x:v>Cohort lifetime</x:v>
      </x:c>
      <x:c r="F12" s="26" t="str">
        <x:v>people</x:v>
      </x:c>
      <x:c r="G12" s="26" t="str">
        <x:v>Broad cohort × affected share × retention × attribution × persistence × retained adjustments × employment probability</x:v>
      </x:c>
      <x:c r="H12" s="26" t="str">
        <x:v>Broad × affected × domestic × attribution × persistence × (1−deadweight) × (1−displacement) × (1−GE) × employment</x:v>
      </x:c>
      <x:c r="I12" s="26" t="str">
        <x:v>Human Capital &amp; Earnings!B41</x:v>
      </x:c>
      <x:c r="J12" s="26" t="str">
        <x:v>Effective affected employed people</x:v>
      </x:c>
      <x:c r="K12" s="26" t="str">
        <x:v>Broad non-overlap cohort</x:v>
      </x:c>
      <x:c r="L12" s="26" t="str">
        <x:v>Human-capital assumptions</x:v>
      </x:c>
      <x:c r="M12" s="26" t="str">
        <x:v>Assumptions; Human Capital &amp; Earnings</x:v>
      </x:c>
      <x:c r="N12" s="26" t="str">
        <x:v>Earnings Uplift Bridge</x:v>
      </x:c>
      <x:c r="O12" s="26" t="str">
        <x:v>Higher increases earnings and tax benefits</x:v>
      </x:c>
      <x:c r="P12" s="26" t="str">
        <x:v>Lower reduces benefits</x:v>
      </x:c>
      <x:c r="Q12" s="26" t="str">
        <x:v>Does not mean identifiable measured beneficiaries</x:v>
      </x:c>
      <x:c r="R12" s="26" t="str">
        <x:v>Scenario-based</x:v>
      </x:c>
      <x:c r="S12" s="26" t="str">
        <x:v>Every population factor requires evidence</x:v>
      </x:c>
      <x:c r="T12" s="26" t="str">
        <x:v>Sustained-NEET cases excluded first</x:v>
      </x:c>
      <x:c r="U12" s="26" t="str">
        <x:v>Live reconciliation</x:v>
      </x:c>
      <x:c r="V12" s="26" t="str">
        <x:v>Human Capital &amp; Earnings</x:v>
      </x:c>
      <x:c r="W12" s="26" t="str">
        <x:v>B41</x:v>
      </x:c>
    </x:row>
    <x:row r="13">
      <x:c r="A13" s="26" t="str">
        <x:v>HC-02</x:v>
      </x:c>
      <x:c r="B13" s="26" t="str">
        <x:v>Affected-population uplift</x:v>
      </x:c>
      <x:c r="C13" s="26" t="str">
        <x:v>What earnings change is tested for the effective affected population?</x:v>
      </x:c>
      <x:c r="D13" s="26" t="str">
        <x:v>National social</x:v>
      </x:c>
      <x:c r="E13" s="26" t="str">
        <x:v>Working life</x:v>
      </x:c>
      <x:c r="F13" s="26" t="str">
        <x:v>%</x:v>
      </x:c>
      <x:c r="G13" s="26" t="str">
        <x:v>Scenario uplift applied to baseline earnings for effective affected employed people</x:v>
      </x:c>
      <x:c r="H13" s="26" t="str">
        <x:v>Baseline earnings × uplift</x:v>
      </x:c>
      <x:c r="I13" s="26" t="str">
        <x:v>Human Capital &amp; Earnings!A99</x:v>
      </x:c>
      <x:c r="J13" s="26" t="str">
        <x:v>Incremental earnings</x:v>
      </x:c>
      <x:c r="K13" s="26" t="str">
        <x:v>Baseline affected-population earnings</x:v>
      </x:c>
      <x:c r="L13" s="26" t="str">
        <x:v>Scenario sensitivity</x:v>
      </x:c>
      <x:c r="M13" s="26" t="str">
        <x:v>Human Capital &amp; Earnings</x:v>
      </x:c>
      <x:c r="N13" s="26" t="str">
        <x:v>Executive Summary</x:v>
      </x:c>
      <x:c r="O13" s="26" t="str">
        <x:v>Higher raises modelled benefits</x:v>
      </x:c>
      <x:c r="P13" s="26" t="str">
        <x:v>Lower reduces benefits</x:v>
      </x:c>
      <x:c r="Q13" s="26" t="str">
        <x:v>Does not apply to every student</x:v>
      </x:c>
      <x:c r="R13" s="26" t="str">
        <x:v>Illustrative sensitivity</x:v>
      </x:c>
      <x:c r="S13" s="26" t="str">
        <x:v>No causal earnings effect proven</x:v>
      </x:c>
      <x:c r="T13" s="26" t="str">
        <x:v>Separate high-risk cases excluded</x:v>
      </x:c>
      <x:c r="U13" s="26" t="str">
        <x:v>1% example</x:v>
      </x:c>
      <x:c r="V13" s="26" t="str">
        <x:v>Human Capital &amp; Earnings</x:v>
      </x:c>
      <x:c r="W13" s="26" t="str">
        <x:v>A99</x:v>
      </x:c>
    </x:row>
    <x:row r="14">
      <x:c r="A14" s="26" t="str">
        <x:v>HC-03</x:v>
      </x:c>
      <x:c r="B14" s="26" t="str">
        <x:v>Value-weighted full-cohort equivalent</x:v>
      </x:c>
      <x:c r="C14" s="26" t="str">
        <x:v>What uniform average would carry the same value across the full eligible cohort?</x:v>
      </x:c>
      <x:c r="D14" s="26" t="str">
        <x:v>Public explanation</x:v>
      </x:c>
      <x:c r="E14" s="26" t="str">
        <x:v>Cohort lifetime</x:v>
      </x:c>
      <x:c r="F14" s="26" t="str">
        <x:v>%</x:v>
      </x:c>
      <x:c r="G14" s="26" t="str">
        <x:v>Affected uplift × effective employed population ÷ (full cohort × employment probability)</x:v>
      </x:c>
      <x:c r="H14" s="26" t="str">
        <x:v>u × N_effective ÷ (N_full × p_employment)</x:v>
      </x:c>
      <x:c r="I14" s="26" t="str">
        <x:v>Human Capital &amp; Earnings!D141</x:v>
      </x:c>
      <x:c r="J14" s="26" t="str">
        <x:v>Value-equivalent cohort uplift</x:v>
      </x:c>
      <x:c r="K14" s="26" t="str">
        <x:v>Not a new denominator for benefit calculation</x:v>
      </x:c>
      <x:c r="L14" s="26" t="str">
        <x:v>Population bridge</x:v>
      </x:c>
      <x:c r="M14" s="26" t="str">
        <x:v>Human Capital &amp; Earnings</x:v>
      </x:c>
      <x:c r="N14" s="26" t="str">
        <x:v>Executive Summary; Earnings Uplift Bridge</x:v>
      </x:c>
      <x:c r="O14" s="26" t="str">
        <x:v>Higher indicates a larger whole-cohort equivalent</x:v>
      </x:c>
      <x:c r="P14" s="26" t="str">
        <x:v>Lower indicates a smaller equivalent</x:v>
      </x:c>
      <x:c r="Q14" s="26" t="str">
        <x:v>Not a measured uniform effect</x:v>
      </x:c>
      <x:c r="R14" s="26" t="str">
        <x:v>Calculated explanation</x:v>
      </x:c>
      <x:c r="S14" s="26" t="str">
        <x:v>Depends on scenario population factors</x:v>
      </x:c>
      <x:c r="T14" s="26" t="str">
        <x:v>No new benefit added</x:v>
      </x:c>
      <x:c r="U14" s="26" t="str">
        <x:v>1% affected uplift example</x:v>
      </x:c>
      <x:c r="V14" s="26" t="str">
        <x:v>Human Capital &amp; Earnings</x:v>
      </x:c>
      <x:c r="W14" s="26" t="str">
        <x:v>D141</x:v>
      </x:c>
    </x:row>
    <x:row r="15">
      <x:c r="A15" s="26" t="str">
        <x:v>BCR-01</x:v>
      </x:c>
      <x:c r="B15" s="26" t="str">
        <x:v>Full-expenditure social-investment BCR</x:v>
      </x:c>
      <x:c r="C15" s="26" t="str">
        <x:v>Do included social benefits exceed the full expenditure envelope?</x:v>
      </x:c>
      <x:c r="D15" s="26" t="str">
        <x:v>National social</x:v>
      </x:c>
      <x:c r="E15" s="26" t="str">
        <x:v>Cohort lifetime versus aligned annual cost</x:v>
      </x:c>
      <x:c r="F15" s="26" t="str">
        <x:v>x</x:v>
      </x:c>
      <x:c r="G15" s="26" t="str">
        <x:v>PV included benefits ÷ full mature annual expenditure</x:v>
      </x:c>
      <x:c r="H15" s="26" t="str">
        <x:v>PV benefits / full public expenditure</x:v>
      </x:c>
      <x:c r="I15" s="26" t="str">
        <x:v>Human Capital &amp; Earnings!J99</x:v>
      </x:c>
      <x:c r="J15" s="26" t="str">
        <x:v>Included social benefits</x:v>
      </x:c>
      <x:c r="K15" s="26" t="str">
        <x:v>Full mature annual programme expenditure</x:v>
      </x:c>
      <x:c r="L15" s="26" t="str">
        <x:v>NEET, Learning Capital offset and earnings assumptions</x:v>
      </x:c>
      <x:c r="M15" s="26" t="str">
        <x:v>Benefits &amp; BCR; Human Capital &amp; Earnings</x:v>
      </x:c>
      <x:c r="N15" s="26" t="str">
        <x:v>Executive Summary</x:v>
      </x:c>
      <x:c r="O15" s="26" t="str">
        <x:v>Above 1 indicates included benefits exceed full expenditure</x:v>
      </x:c>
      <x:c r="P15" s="26" t="str">
        <x:v>Below 1 indicates a gap remains</x:v>
      </x:c>
      <x:c r="Q15" s="26" t="str">
        <x:v>Not Crown cash recovery or guaranteed yield</x:v>
      </x:c>
      <x:c r="R15" s="26" t="str">
        <x:v>Scenario sensitivity</x:v>
      </x:c>
      <x:c r="S15" s="26" t="str">
        <x:v>Benefit effects unproven</x:v>
      </x:c>
      <x:c r="T15" s="26" t="str">
        <x:v>Overlap matrix applied</x:v>
      </x:c>
      <x:c r="U15" s="26" t="str">
        <x:v>1% uplift at 2% rate</x:v>
      </x:c>
      <x:c r="V15" s="26" t="str">
        <x:v>Human Capital &amp; Earnings</x:v>
      </x:c>
      <x:c r="W15" s="26" t="str">
        <x:v>J99</x:v>
      </x:c>
    </x:row>
    <x:row r="16">
      <x:c r="A16" s="26" t="str">
        <x:v>BCR-02</x:v>
      </x:c>
      <x:c r="B16" s="26" t="str">
        <x:v>Transfer-adjusted national economic BCR</x:v>
      </x:c>
      <x:c r="C16" s="26" t="str">
        <x:v>Do included national benefits exceed provisional real resource cost?</x:v>
      </x:c>
      <x:c r="D16" s="26" t="str">
        <x:v>National economic</x:v>
      </x:c>
      <x:c r="E16" s="26" t="str">
        <x:v>Cohort lifetime versus aligned annual resource cost</x:v>
      </x:c>
      <x:c r="F16" s="26" t="str">
        <x:v>x</x:v>
      </x:c>
      <x:c r="G16" s="26" t="str">
        <x:v>PV included benefits ÷ provisional resource cost after transfer adjustment</x:v>
      </x:c>
      <x:c r="H16" s="26" t="str">
        <x:v>PV benefits / (mature cost − participant payments)</x:v>
      </x:c>
      <x:c r="I16" s="26" t="str">
        <x:v>Human Capital &amp; Earnings!O99</x:v>
      </x:c>
      <x:c r="J16" s="26" t="str">
        <x:v>Included social benefits</x:v>
      </x:c>
      <x:c r="K16" s="26" t="str">
        <x:v>Provisional real resource cost</x:v>
      </x:c>
      <x:c r="L16" s="26" t="str">
        <x:v>Same benefits; provisional transfer treatment</x:v>
      </x:c>
      <x:c r="M16" s="26" t="str">
        <x:v>Benefits &amp; BCR; Human Capital &amp; Earnings</x:v>
      </x:c>
      <x:c r="N16" s="26" t="str">
        <x:v>Executive Summary</x:v>
      </x:c>
      <x:c r="O16" s="26" t="str">
        <x:v>Above 1 indicates benefits exceed provisional resource denominator</x:v>
      </x:c>
      <x:c r="P16" s="26" t="str">
        <x:v>Below 1 indicates a gap under that view</x:v>
      </x:c>
      <x:c r="Q16" s="26" t="str">
        <x:v>Does not reduce appropriation or make payments free</x:v>
      </x:c>
      <x:c r="R16" s="26" t="str">
        <x:v>Provisional sensitivity</x:v>
      </x:c>
      <x:c r="S16" s="26" t="str">
        <x:v>Treasury confirmation required</x:v>
      </x:c>
      <x:c r="T16" s="26" t="str">
        <x:v>Student principal and investment returns excluded</x:v>
      </x:c>
      <x:c r="U16" s="26" t="str">
        <x:v>1% uplift at 2% rate</x:v>
      </x:c>
      <x:c r="V16" s="26" t="str">
        <x:v>Human Capital &amp; Earnings</x:v>
      </x:c>
      <x:c r="W16" s="26" t="str">
        <x:v>O99</x:v>
      </x:c>
    </x:row>
    <x:row r="17">
      <x:c r="A17" s="26" t="str">
        <x:v>FISC-03</x:v>
      </x:c>
      <x:c r="B17" s="26" t="str">
        <x:v>Crown fiscal coverage</x:v>
      </x:c>
      <x:c r="C17" s="26" t="str">
        <x:v>How much Crown expenditure is covered by valid fiscal offsets?</x:v>
      </x:c>
      <x:c r="D17" s="26" t="str">
        <x:v>Crown fiscal</x:v>
      </x:c>
      <x:c r="E17" s="26" t="str">
        <x:v>Cohort lifetime versus aligned expenditure</x:v>
      </x:c>
      <x:c r="F17" s="26" t="str">
        <x:v>x</x:v>
      </x:c>
      <x:c r="G17" s="26" t="str">
        <x:v>PV Crown offsets ÷ full Crown expenditure</x:v>
      </x:c>
      <x:c r="H17" s="26" t="str">
        <x:v>(tax + ACC + benefit + valid loan offsets) / Crown cost</x:v>
      </x:c>
      <x:c r="I17" s="26" t="str">
        <x:v>Human Capital &amp; Earnings!M99</x:v>
      </x:c>
      <x:c r="J17" s="26" t="str">
        <x:v>Valid Crown offsets</x:v>
      </x:c>
      <x:c r="K17" s="26" t="str">
        <x:v>Full Crown cost net of committed funding</x:v>
      </x:c>
      <x:c r="L17" s="26" t="str">
        <x:v>Tax, benefit, fair-value and cost assumptions</x:v>
      </x:c>
      <x:c r="M17" s="26" t="str">
        <x:v>Human Capital &amp; Earnings</x:v>
      </x:c>
      <x:c r="N17" s="26" t="str">
        <x:v>Executive Summary</x:v>
      </x:c>
      <x:c r="O17" s="26" t="str">
        <x:v>Higher reduces residual Crown cost</x:v>
      </x:c>
      <x:c r="P17" s="26" t="str">
        <x:v>Below 1 leaves net Crown fiscal cost</x:v>
      </x:c>
      <x:c r="Q17" s="26" t="str">
        <x:v>Does not include all participant or social value</x:v>
      </x:c>
      <x:c r="R17" s="26" t="str">
        <x:v>Scenario sensitivity</x:v>
      </x:c>
      <x:c r="S17" s="26" t="str">
        <x:v>Tax and causal earnings uncertain</x:v>
      </x:c>
      <x:c r="T17" s="26" t="str">
        <x:v>Gross earnings excluded from Crown view</x:v>
      </x:c>
      <x:c r="U17" s="26" t="str">
        <x:v>1% uplift at 4% sensitivity</x:v>
      </x:c>
      <x:c r="V17" s="26" t="str">
        <x:v>Human Capital &amp; Earnings</x:v>
      </x:c>
      <x:c r="W17" s="26" t="str">
        <x:v>M99</x:v>
      </x:c>
    </x:row>
    <x:row r="18">
      <x:c r="A18" s="26" t="str">
        <x:v>BE-01</x:v>
      </x:c>
      <x:c r="B18" s="26" t="str">
        <x:v>Social break-even earnings uplift</x:v>
      </x:c>
      <x:c r="C18" s="26" t="str">
        <x:v>What affected-population uplift would make full-expenditure BCR equal 1?</x:v>
      </x:c>
      <x:c r="D18" s="26" t="str">
        <x:v>National social</x:v>
      </x:c>
      <x:c r="E18" s="26" t="str">
        <x:v>Working life</x:v>
      </x:c>
      <x:c r="F18" s="26" t="str">
        <x:v>%</x:v>
      </x:c>
      <x:c r="G18" s="26" t="str">
        <x:v>Remaining cost gap ÷ PV earnings benefit generated by a 1% uplift</x:v>
      </x:c>
      <x:c r="H18" s="26" t="str">
        <x:v>(Cost − base benefit) / earnings PV per 1% × 1%</x:v>
      </x:c>
      <x:c r="I18" s="26" t="str">
        <x:v>Human Capital &amp; Earnings!J116</x:v>
      </x:c>
      <x:c r="J18" s="26" t="str">
        <x:v>Remaining full-expenditure gap</x:v>
      </x:c>
      <x:c r="K18" s="26" t="str">
        <x:v>Earnings PV generated per 1%</x:v>
      </x:c>
      <x:c r="L18" s="26" t="str">
        <x:v>Cost, base benefit, effective population, discount rate</x:v>
      </x:c>
      <x:c r="M18" s="26" t="str">
        <x:v>Human Capital &amp; Earnings</x:v>
      </x:c>
      <x:c r="N18" s="26" t="str">
        <x:v>Executive Summary</x:v>
      </x:c>
      <x:c r="O18" s="26" t="str">
        <x:v>Higher means a harder evidence hurdle</x:v>
      </x:c>
      <x:c r="P18" s="26" t="str">
        <x:v>Lower means easier break-even</x:v>
      </x:c>
      <x:c r="Q18" s="26" t="str">
        <x:v>Not a forecast of actual uplift</x:v>
      </x:c>
      <x:c r="R18" s="26" t="str">
        <x:v>Reverse-calculated sensitivity</x:v>
      </x:c>
      <x:c r="S18" s="26" t="str">
        <x:v>Depends on all base assumptions</x:v>
      </x:c>
      <x:c r="T18" s="26" t="str">
        <x:v>Justice excluded from headline</x:v>
      </x:c>
      <x:c r="U18" s="26" t="str">
        <x:v>Mature design at 2%</x:v>
      </x:c>
      <x:c r="V18" s="26" t="str">
        <x:v>Human Capital &amp; Earnings</x:v>
      </x:c>
      <x:c r="W18" s="26" t="str">
        <x:v>J116</x:v>
      </x:c>
    </x:row>
    <x:row r="19">
      <x:c r="A19" s="26" t="str">
        <x:v>BE-02</x:v>
      </x:c>
      <x:c r="B19" s="26" t="str">
        <x:v>Crown fiscal break-even earnings uplift</x:v>
      </x:c>
      <x:c r="C19" s="26" t="str">
        <x:v>What uplift would make fiscal coverage equal 100%?</x:v>
      </x:c>
      <x:c r="D19" s="26" t="str">
        <x:v>Crown fiscal</x:v>
      </x:c>
      <x:c r="E19" s="26" t="str">
        <x:v>Working life</x:v>
      </x:c>
      <x:c r="F19" s="26" t="str">
        <x:v>%</x:v>
      </x:c>
      <x:c r="G19" s="26" t="str">
        <x:v>Residual Crown cost ÷ tax and ACC PV generated by a 1% uplift</x:v>
      </x:c>
      <x:c r="H19" s="26" t="str">
        <x:v>(Crown cost − base offsets) / tax PV per 1% × 1%</x:v>
      </x:c>
      <x:c r="I19" s="26" t="str">
        <x:v>Human Capital &amp; Earnings!K116</x:v>
      </x:c>
      <x:c r="J19" s="26" t="str">
        <x:v>Residual Crown cost</x:v>
      </x:c>
      <x:c r="K19" s="26" t="str">
        <x:v>Tax + ACC PV per 1%</x:v>
      </x:c>
      <x:c r="L19" s="26" t="str">
        <x:v>Tax rates, effective population, cost, offsets</x:v>
      </x:c>
      <x:c r="M19" s="26" t="str">
        <x:v>Human Capital &amp; Earnings</x:v>
      </x:c>
      <x:c r="N19" s="26" t="str">
        <x:v>Executive Summary</x:v>
      </x:c>
      <x:c r="O19" s="26" t="str">
        <x:v>Higher means fiscal self-funding is harder</x:v>
      </x:c>
      <x:c r="P19" s="26" t="str">
        <x:v>Lower means easier Crown recovery</x:v>
      </x:c>
      <x:c r="Q19" s="26" t="str">
        <x:v>Does not determine social value</x:v>
      </x:c>
      <x:c r="R19" s="26" t="str">
        <x:v>Reverse-calculated sensitivity</x:v>
      </x:c>
      <x:c r="S19" s="26" t="str">
        <x:v>Causal earnings and fiscal responses unproven</x:v>
      </x:c>
      <x:c r="T19" s="26" t="str">
        <x:v>Social benefits excluded</x:v>
      </x:c>
      <x:c r="U19" s="26" t="str">
        <x:v>Mature design at 2%</x:v>
      </x:c>
      <x:c r="V19" s="26" t="str">
        <x:v>Human Capital &amp; Earnings</x:v>
      </x:c>
      <x:c r="W19" s="26" t="str">
        <x:v>K116</x:v>
      </x:c>
    </x:row>
    <x:row r="20">
      <x:c r="A20" s="26" t="str">
        <x:v>JUST-01</x:v>
      </x:c>
      <x:c r="B20" s="26" t="str">
        <x:v>Justice resource sensitivity</x:v>
      </x:c>
      <x:c r="C20" s="26" t="str">
        <x:v>What illustrative resource value arises under a small justice effect?</x:v>
      </x:c>
      <x:c r="D20" s="26" t="str">
        <x:v>National social sensitivity</x:v>
      </x:c>
      <x:c r="E20" s="26" t="str">
        <x:v>Cohort lifetime</x:v>
      </x:c>
      <x:c r="F20" s="26" t="str">
        <x:v>NZD</x:v>
      </x:c>
      <x:c r="G20" s="26" t="str">
        <x:v>Averted sustained cases × applicable rate × prisoner-years × resource value</x:v>
      </x:c>
      <x:c r="H20" s="26" t="str">
        <x:v>Cases × justice sensitivity × years × unit value</x:v>
      </x:c>
      <x:c r="I20" s="26" t="str">
        <x:v>Justice Sensitivity!G7</x:v>
      </x:c>
      <x:c r="J20" s="26" t="str">
        <x:v>Illustrative prison resource value</x:v>
      </x:c>
      <x:c r="K20" s="26" t="str">
        <x:v>Not applicable</x:v>
      </x:c>
      <x:c r="L20" s="26" t="str">
        <x:v>Averted cases, rate, prisoner-years, CBAx value</x:v>
      </x:c>
      <x:c r="M20" s="26" t="str">
        <x:v>Justice Sensitivity</x:v>
      </x:c>
      <x:c r="N20" s="26" t="str">
        <x:v>Benefits &amp; BCR</x:v>
      </x:c>
      <x:c r="O20" s="26" t="str">
        <x:v>Higher increases illustrative social value</x:v>
      </x:c>
      <x:c r="P20" s="26" t="str">
        <x:v>Zero is the headline evidence case</x:v>
      </x:c>
      <x:c r="Q20" s="26" t="str">
        <x:v>Not cashable Corrections saving or forecast</x:v>
      </x:c>
      <x:c r="R20" s="26" t="str">
        <x:v>Illustrative only</x:v>
      </x:c>
      <x:c r="S20" s="26" t="str">
        <x:v>No causal offence mix or marginal cost</x:v>
      </x:c>
      <x:c r="T20" s="26" t="str">
        <x:v>Excluded from headline BCR</x:v>
      </x:c>
      <x:c r="U20" s="26" t="str">
        <x:v>1% sensitivity</x:v>
      </x:c>
      <x:c r="V20" s="26" t="str">
        <x:v>Justice Sensitivity</x:v>
      </x:c>
      <x:c r="W20" s="26" t="str">
        <x:v>G7</x:v>
      </x:c>
    </x:row>
    <x:row r="21">
      <x:c r="A21" s="26" t="str">
        <x:v>SCEN-01</x:v>
      </x:c>
      <x:c r="B21" s="26" t="str">
        <x:v>Core plus targeted cost</x:v>
      </x:c>
      <x:c r="C21" s="26" t="str">
        <x:v>What does the lower-cost structural scenario cost?</x:v>
      </x:c>
      <x:c r="D21" s="26" t="str">
        <x:v>Crown cash</x:v>
      </x:c>
      <x:c r="E21" s="26" t="str">
        <x:v>Annual national</x:v>
      </x:c>
      <x:c r="F21" s="26" t="str">
        <x:v>NZD/year</x:v>
      </x:c>
      <x:c r="G21" s="26" t="str">
        <x:v>Universal core cost plus targeted people × incremental support cost</x:v>
      </x:c>
      <x:c r="H21" s="26" t="str">
        <x:v>Core cost + targeted share × cohort × unit cost</x:v>
      </x:c>
      <x:c r="I21" s="26" t="str">
        <x:v>Delivery Scenarios!G21</x:v>
      </x:c>
      <x:c r="J21" s="26" t="str">
        <x:v>Scenario annual cost</x:v>
      </x:c>
      <x:c r="K21" s="26" t="str">
        <x:v>Not applicable</x:v>
      </x:c>
      <x:c r="L21" s="26" t="str">
        <x:v>Payment intensity, core non-payment intensity, targeted share and cost</x:v>
      </x:c>
      <x:c r="M21" s="26" t="str">
        <x:v>Assumptions; Delivery Scenarios</x:v>
      </x:c>
      <x:c r="N21" s="26" t="str">
        <x:v>Executive Summary</x:v>
      </x:c>
      <x:c r="O21" s="26" t="str">
        <x:v>Higher worsens break-even</x:v>
      </x:c>
      <x:c r="P21" s="26" t="str">
        <x:v>Lower improves it</x:v>
      </x:c>
      <x:c r="Q21" s="26" t="str">
        <x:v>Does not prove retained effects</x:v>
      </x:c>
      <x:c r="R21" s="26" t="str">
        <x:v>Scenario only</x:v>
      </x:c>
      <x:c r="S21" s="26" t="str">
        <x:v>Cost and retained-effect assumptions unproven</x:v>
      </x:c>
      <x:c r="T21" s="26" t="str">
        <x:v>No uncommitted co-investment</x:v>
      </x:c>
      <x:c r="U21" s="26" t="str">
        <x:v>Live central scenario</x:v>
      </x:c>
      <x:c r="V21" s="26" t="str">
        <x:v>Delivery Scenarios</x:v>
      </x:c>
      <x:c r="W21" s="26" t="str">
        <x:v>G21</x:v>
      </x:c>
    </x:row>
    <x:row r="22">
      <x:c r="A22" s="26" t="str">
        <x:v>SCEN-02</x:v>
      </x:c>
      <x:c r="B22" s="26" t="str">
        <x:v>Retained high-risk-effect sensitivity</x:v>
      </x:c>
      <x:c r="C22" s="26" t="str">
        <x:v>How does break-even change if the lower-cost design retains less high-risk effect?</x:v>
      </x:c>
      <x:c r="D22" s="26" t="str">
        <x:v>National social</x:v>
      </x:c>
      <x:c r="E22" s="26" t="str">
        <x:v>Cohort lifetime</x:v>
      </x:c>
      <x:c r="F22" s="26" t="str">
        <x:v>% retained</x:v>
      </x:c>
      <x:c r="G22" s="26" t="str">
        <x:v>Mature high-risk benefit × retained-effect factor</x:v>
      </x:c>
      <x:c r="H22" s="26" t="str">
        <x:v>Mature benefit × 25%, 50%, 75% or 100%</x:v>
      </x:c>
      <x:c r="I22" s="26" t="str">
        <x:v>Delivery Scenarios!A48:F51</x:v>
      </x:c>
      <x:c r="J22" s="26" t="str">
        <x:v>Retained base benefit</x:v>
      </x:c>
      <x:c r="K22" s="26" t="str">
        <x:v>Not applicable</x:v>
      </x:c>
      <x:c r="L22" s="26" t="str">
        <x:v>High-risk benefit factor and earnings pathway</x:v>
      </x:c>
      <x:c r="M22" s="26" t="str">
        <x:v>Delivery Scenarios</x:v>
      </x:c>
      <x:c r="N22" s="26" t="str">
        <x:v>Executive Summary</x:v>
      </x:c>
      <x:c r="O22" s="26" t="str">
        <x:v>Higher retained effect improves BCR</x:v>
      </x:c>
      <x:c r="P22" s="26" t="str">
        <x:v>Lower retained effect raises the earnings hurdle</x:v>
      </x:c>
      <x:c r="Q22" s="26" t="str">
        <x:v>Does not establish which factor is true</x:v>
      </x:c>
      <x:c r="R22" s="26" t="str">
        <x:v>Illustrative sensitivity</x:v>
      </x:c>
      <x:c r="S22" s="26" t="str">
        <x:v>Pilot evidence required</x:v>
      </x:c>
      <x:c r="T22" s="26" t="str">
        <x:v>Separate table avoids hiding the dependency</x:v>
      </x:c>
      <x:c r="U22" s="26" t="str">
        <x:v>25%–100% table</x:v>
      </x:c>
      <x:c r="V22" s="26" t="str">
        <x:v>Delivery Scenarios</x:v>
      </x:c>
      <x:c r="W22" s="26" t="str">
        <x:v>A48:F51</x:v>
      </x:c>
    </x:row>
    <x:row r="23">
      <x:c r="A23" s="26" t="str">
        <x:v>GATE-01</x:v>
      </x:c>
      <x:c r="B23" s="26" t="str">
        <x:v>Minimum projected social BCR</x:v>
      </x:c>
      <x:c r="C23" s="26" t="str">
        <x:v>What value-for-money threshold must a scale case meet?</x:v>
      </x:c>
      <x:c r="D23" s="26" t="str">
        <x:v>Stage-gate</x:v>
      </x:c>
      <x:c r="E23" s="26" t="str">
        <x:v>Before Stage 2</x:v>
      </x:c>
      <x:c r="F23" s="26" t="str">
        <x:v>x</x:v>
      </x:c>
      <x:c r="G23" s="26" t="str">
        <x:v>Pre-agreed minimum projected BCR</x:v>
      </x:c>
      <x:c r="H23" s="26" t="str">
        <x:v>Threshold comparison</x:v>
      </x:c>
      <x:c r="I23" s="26" t="str">
        <x:v>Assumptions!E185</x:v>
      </x:c>
      <x:c r="J23" s="26" t="str">
        <x:v>Projected BCR</x:v>
      </x:c>
      <x:c r="K23" s="26" t="str">
        <x:v>Minimum threshold</x:v>
      </x:c>
      <x:c r="L23" s="26" t="str">
        <x:v>Stage-gate decision rule</x:v>
      </x:c>
      <x:c r="M23" s="26" t="str">
        <x:v>Assumptions; Stage-Gate Tests</x:v>
      </x:c>
      <x:c r="N23" s="26" t="str">
        <x:v>Stage-Gate Tests</x:v>
      </x:c>
      <x:c r="O23" s="26" t="str">
        <x:v>Higher threshold requires stronger evidence</x:v>
      </x:c>
      <x:c r="P23" s="26" t="str">
        <x:v>Lower threshold accepts more social-value risk</x:v>
      </x:c>
      <x:c r="Q23" s="26" t="str">
        <x:v>Passing alone does not justify scale</x:v>
      </x:c>
      <x:c r="R23" s="26" t="str">
        <x:v>Provisional decision threshold</x:v>
      </x:c>
      <x:c r="S23" s="26" t="str">
        <x:v>Treasury/evaluator agreement required</x:v>
      </x:c>
      <x:c r="T23" s="26" t="str">
        <x:v>Portfolio of tests required</x:v>
      </x:c>
      <x:c r="U23" s="26" t="str">
        <x:v>1.0x central threshold</x:v>
      </x:c>
      <x:c r="V23" s="26" t="str">
        <x:v>Assumptions</x:v>
      </x:c>
      <x:c r="W23" s="26" t="str">
        <x:v>E185</x:v>
      </x:c>
    </x:row>
    <x:row r="24">
      <x:c r="A24" s="26" t="str">
        <x:v>GATE-02</x:v>
      </x:c>
      <x:c r="B24" s="26" t="str">
        <x:v>Minimum projected Crown fiscal coverage</x:v>
      </x:c>
      <x:c r="C24" s="26" t="str">
        <x:v>What minimum fiscal recovery is required for scale consideration?</x:v>
      </x:c>
      <x:c r="D24" s="26" t="str">
        <x:v>Stage-gate</x:v>
      </x:c>
      <x:c r="E24" s="26" t="str">
        <x:v>Before Stage 2</x:v>
      </x:c>
      <x:c r="F24" s="26" t="str">
        <x:v>x</x:v>
      </x:c>
      <x:c r="G24" s="26" t="str">
        <x:v>Pre-agreed minimum fiscal coverage</x:v>
      </x:c>
      <x:c r="H24" s="26" t="str">
        <x:v>Threshold comparison</x:v>
      </x:c>
      <x:c r="I24" s="26" t="str">
        <x:v>Assumptions!E186</x:v>
      </x:c>
      <x:c r="J24" s="26" t="str">
        <x:v>Projected Crown offsets</x:v>
      </x:c>
      <x:c r="K24" s="26" t="str">
        <x:v>Full Crown cost</x:v>
      </x:c>
      <x:c r="L24" s="26" t="str">
        <x:v>Stage-gate decision rule</x:v>
      </x:c>
      <x:c r="M24" s="26" t="str">
        <x:v>Assumptions; Stage-Gate Tests</x:v>
      </x:c>
      <x:c r="N24" s="26" t="str">
        <x:v>Stage-Gate Tests</x:v>
      </x:c>
      <x:c r="O24" s="26" t="str">
        <x:v>Higher threshold demands greater fiscal recovery</x:v>
      </x:c>
      <x:c r="P24" s="26" t="str">
        <x:v>Lower threshold requires explicit judgement on non-fiscal value</x:v>
      </x:c>
      <x:c r="Q24" s="26" t="str">
        <x:v>Not social BCR</x:v>
      </x:c>
      <x:c r="R24" s="26" t="str">
        <x:v>Provisional decision threshold</x:v>
      </x:c>
      <x:c r="S24" s="26" t="str">
        <x:v>Cabinet/Treasury decision required</x:v>
      </x:c>
      <x:c r="T24" s="26" t="str">
        <x:v>Crown and social perspectives kept separate</x:v>
      </x:c>
      <x:c r="U24" s="26" t="str">
        <x:v>35% central threshold</x:v>
      </x:c>
      <x:c r="V24" s="26" t="str">
        <x:v>Assumptions</x:v>
      </x:c>
      <x:c r="W24" s="26" t="str">
        <x:v>E186</x:v>
      </x:c>
    </x:row>
    <x:row r="26">
      <x:c r="A26" t="str">
        <x:v>Return to: Start Here — Guided Tour</x:v>
      </x:c>
    </x:row>
  </x:sheetData>
  <x:mergeCells>
    <x:mergeCell ref="A1:W1"/>
    <x:mergeCell ref="A2:W2"/>
    <x:mergeCell ref="A26:C26"/>
  </x:mergeCells>
  <x:pageMargins left="0.7" right="0.7" top="0.75" bottom="0.75" header="0.3" footer="0.3"/>
  <x:tableParts count="1">
    <x:tablePart xmlns:r="http://schemas.openxmlformats.org/officeDocument/2006/relationships" r:id="Radad1a78ecc64be2"/>
  </x:tableParts>
</x:worksheet>
</file>

<file path=xl/worksheets/sheet8.xml><?xml version="1.0" encoding="utf-8"?>
<x:worksheet xmlns:x="http://schemas.openxmlformats.org/spreadsheetml/2006/main">
  <x:sheetViews>
    <x:sheetView showGridLines="0" workbookViewId="0"/>
  </x:sheetViews>
  <x:sheetFormatPr defaultRowHeight="15"/>
  <x:cols>
    <x:col min="1" max="1" width="32" hidden="0" customWidth="1"/>
    <x:col min="2" max="2" width="40" hidden="0" customWidth="1"/>
    <x:col min="3" max="3" width="40" hidden="0" customWidth="1"/>
    <x:col min="4" max="4" width="40" hidden="0" customWidth="1"/>
    <x:col min="5" max="5" width="20" hidden="0" customWidth="1"/>
    <x:col min="6" max="6" width="15" hidden="0" customWidth="1"/>
    <x:col min="7" max="7" width="42" hidden="0" customWidth="1"/>
    <x:col min="8" max="8" width="42" hidden="0" customWidth="1"/>
  </x:cols>
  <x:sheetData>
    <x:row r="1">
      <x:c r="A1" s="1146" t="str">
        <x:v>Worked Examples — Live Links to the Controlling Model</x:v>
      </x:c>
      <x:c r="B1" s="1146"/>
      <x:c r="C1" s="1146"/>
      <x:c r="D1" s="1146"/>
      <x:c r="E1" s="1146"/>
      <x:c r="F1" s="1146"/>
      <x:c r="G1" s="1146"/>
      <x:c r="H1" s="1146"/>
    </x:row>
    <x:row r="2">
      <x:c r="A2" s="1140" t="str">
        <x:v>These examples use live links to central assumptions and outputs. They are explanations of the model—not separate hardcoded calculations.</x:v>
      </x:c>
      <x:c r="B2" s="1140"/>
      <x:c r="C2" s="1140"/>
      <x:c r="D2" s="1140"/>
      <x:c r="E2" s="1140"/>
      <x:c r="F2" s="1140"/>
      <x:c r="G2" s="1140"/>
      <x:c r="H2" s="1140"/>
    </x:row>
    <x:row r="4">
      <x:c r="A4" s="1138" t="str">
        <x:v>Example</x:v>
      </x:c>
      <x:c r="B4" s="1138" t="str">
        <x:v>Inputs / source</x:v>
      </x:c>
      <x:c r="C4" s="1138" t="str">
        <x:v>Formula in words</x:v>
      </x:c>
      <x:c r="D4" s="1138" t="str">
        <x:v>Mathematical calculation</x:v>
      </x:c>
      <x:c r="E4" s="1138" t="str">
        <x:v>Live result</x:v>
      </x:c>
      <x:c r="F4" s="1138" t="str">
        <x:v>Unit</x:v>
      </x:c>
      <x:c r="G4" s="1138" t="str">
        <x:v>Interpretation</x:v>
      </x:c>
      <x:c r="H4" s="1138" t="str">
        <x:v>Main caveat</x:v>
      </x:c>
    </x:row>
    <x:row r="5">
      <x:c r="A5" s="26" t="str">
        <x:v>1. Stage 0 total cost</x:v>
      </x:c>
      <x:c r="B5" s="26" t="str">
        <x:v>Stage 0 line items and contingency</x:v>
      </x:c>
      <x:c r="C5" s="26" t="str">
        <x:v>Central line-item subtotal + central contingency</x:v>
      </x:c>
      <x:c r="D5" s="26" t="str">
        <x:v>Σ cost lines + contingency</x:v>
      </x:c>
      <x:c r="E5" s="1150" t="n">
        <x:f>'Stage 0 - Year 0'!H54</x:f>
        <x:v>5317875</x:v>
      </x:c>
      <x:c r="F5" s="26" t="str">
        <x:v>NZD</x:v>
      </x:c>
      <x:c r="G5" s="26" t="str">
        <x:v>Immediate feasibility and co-design funding request.</x:v>
      </x:c>
      <x:c r="H5" s="26" t="str">
        <x:v>Planning costs require procurement evidence.</x:v>
      </x:c>
    </x:row>
    <x:row r="6">
      <x:c r="A6" s="26" t="str">
        <x:v>2. Pilot cost</x:v>
      </x:c>
      <x:c r="B6" s="26" t="str">
        <x:v>Treatment cohort, payments, delivery, comparison and evaluation</x:v>
      </x:c>
      <x:c r="C6" s="26" t="str">
        <x:v>Three-year payments + non-payment cost + contingency</x:v>
      </x:c>
      <x:c r="D6" s="26" t="str">
        <x:v>Payments + delivery + evaluation + contingency</x:v>
      </x:c>
      <x:c r="E6" s="1150" t="n">
        <x:f>'Stage 1 - Pilot'!E6</x:f>
        <x:v>97579970.263125</x:v>
      </x:c>
      <x:c r="F6" s="26" t="str">
        <x:v>NZD</x:v>
      </x:c>
      <x:c r="G6" s="26" t="str">
        <x:v>Cost of generating causal and operational evidence.</x:v>
      </x:c>
      <x:c r="H6" s="26" t="str">
        <x:v>Sample and payment utilisation remain assumptions.</x:v>
      </x:c>
    </x:row>
    <x:row r="7">
      <x:c r="A7" s="26" t="str">
        <x:v>3. Mature annual cost</x:v>
      </x:c>
      <x:c r="B7" s="26" t="str">
        <x:v>Five active school-year cohorts, payments and national operations</x:v>
      </x:c>
      <x:c r="C7" s="26" t="str">
        <x:v>Mature annual payments + operating cost + contingency</x:v>
      </x:c>
      <x:c r="D7" s="26" t="str">
        <x:v>Annual programme expenditure</x:v>
      </x:c>
      <x:c r="E7" s="1150" t="n">
        <x:f>'Stage 2 - National'!K48</x:f>
        <x:v>1526137729.0833335</x:v>
      </x:c>
      <x:c r="F7" s="26" t="str">
        <x:v>NZD/year</x:v>
      </x:c>
      <x:c r="G7" s="26" t="str">
        <x:v>Conditional national run-rate comparator.</x:v>
      </x:c>
      <x:c r="H7" s="26" t="str">
        <x:v>Not the immediate request or proof of affordability.</x:v>
      </x:c>
    </x:row>
    <x:row r="8">
      <x:c r="A8" s="26" t="str">
        <x:v>4. Learning Capital accumulation</x:v>
      </x:c>
      <x:c r="B8" s="26" t="str">
        <x:v>Half of verified payments, five years, returns after fees/tax</x:v>
      </x:c>
      <x:c r="C8" s="26" t="str">
        <x:v>Contributions compounded under central return and de-risking</x:v>
      </x:c>
      <x:c r="D8" s="26" t="str">
        <x:v>Σ contributions × annual net-return path</x:v>
      </x:c>
      <x:c r="E8" s="1150" t="n">
        <x:f>'Learning Capital &amp; ROI'!C26</x:f>
        <x:v>10681.574885879425</x:v>
      </x:c>
      <x:c r="F8" s="26" t="str">
        <x:v>NZD/person</x:v>
      </x:c>
      <x:c r="G8" s="26" t="str">
        <x:v>Projected nominal protected account balance.</x:v>
      </x:c>
      <x:c r="H8" s="26" t="str">
        <x:v>Returns can be positive or negative.</x:v>
      </x:c>
    </x:row>
    <x:row r="9">
      <x:c r="A9" s="26" t="str">
        <x:v>5. Fair-value cost avoided</x:v>
      </x:c>
      <x:c r="B9" s="26" t="str">
        <x:v>Gross student lending displaced and official fair-value rate</x:v>
      </x:c>
      <x:c r="C9" s="26" t="str">
        <x:v>Displaced lending × initial fair-value cost per dollar</x:v>
      </x:c>
      <x:c r="D9" s="26" t="str">
        <x:v>Principal × 34.24%</x:v>
      </x:c>
      <x:c r="E9" s="1150" t="n">
        <x:f>'Cohort Bridge'!D28</x:f>
        <x:v>58449915.55259848</x:v>
      </x:c>
      <x:c r="F9" s="26" t="str">
        <x:v>NZD/cohort</x:v>
      </x:c>
      <x:c r="G9" s="26" t="str">
        <x:v>Expected Crown origination cost potentially avoided.</x:v>
      </x:c>
      <x:c r="H9" s="26" t="str">
        <x:v>Only if borrowing is genuinely displaced.</x:v>
      </x:c>
    </x:row>
    <x:row r="10">
      <x:c r="A10" s="26" t="str">
        <x:v>6. Present value of future earnings</x:v>
      </x:c>
      <x:c r="B10" s="26" t="str">
        <x:v>Effective affected employed population, earnings path and 2% discount factors</x:v>
      </x:c>
      <x:c r="C10" s="26" t="str">
        <x:v>Future earnings uplift discounted to present value</x:v>
      </x:c>
      <x:c r="D10" s="26" t="str">
        <x:v>Σ earnings × uplift ÷ (1.02)^t</x:v>
      </x:c>
      <x:c r="E10" s="1150" t="n">
        <x:f>'Human Capital &amp; Earnings'!C99</x:f>
        <x:v>196036293.8565092</x:v>
      </x:c>
      <x:c r="F10" s="26" t="str">
        <x:v>NZD PV</x:v>
      </x:c>
      <x:c r="G10" s="26" t="str">
        <x:v>Lifetime earnings PV for a 1% affected-population uplift at 2%.</x:v>
      </x:c>
      <x:c r="H10" s="26" t="str">
        <x:v>Scenario only; not a causal result.</x:v>
      </x:c>
    </x:row>
    <x:row r="11">
      <x:c r="A11" s="26" t="str">
        <x:v>7. Full-expenditure BCR</x:v>
      </x:c>
      <x:c r="B11" s="26" t="str">
        <x:v>Included benefits at 2% and full annual expenditure</x:v>
      </x:c>
      <x:c r="C11" s="26" t="str">
        <x:v>PV benefits ÷ full expenditure</x:v>
      </x:c>
      <x:c r="D11" s="26" t="str">
        <x:v>Benefits / full cost</x:v>
      </x:c>
      <x:c r="E11" s="1151" t="n">
        <x:f>'Human Capital &amp; Earnings'!J99</x:f>
        <x:v>0.3817901563689555</x:v>
      </x:c>
      <x:c r="F11" s="26" t="str">
        <x:v>x</x:v>
      </x:c>
      <x:c r="G11" s="26" t="str">
        <x:v>Stringent social-investment result at 1% uplift.</x:v>
      </x:c>
      <x:c r="H11" s="26" t="str">
        <x:v>Not Crown cash return.</x:v>
      </x:c>
    </x:row>
    <x:row r="12">
      <x:c r="A12" s="26" t="str">
        <x:v>8. Fiscal coverage</x:v>
      </x:c>
      <x:c r="B12" s="26" t="str">
        <x:v>Valid tax, benefit and loan offsets divided by full cost</x:v>
      </x:c>
      <x:c r="C12" s="26" t="str">
        <x:v>Crown offsets ÷ Crown expenditure</x:v>
      </x:c>
      <x:c r="D12" s="26" t="str">
        <x:v>Fiscal offsets / full cost</x:v>
      </x:c>
      <x:c r="E12" s="1151" t="n">
        <x:f>'Human Capital &amp; Earnings'!M99</x:f>
        <x:v>0.13913014189776074</x:v>
      </x:c>
      <x:c r="F12" s="26" t="str">
        <x:v>x</x:v>
      </x:c>
      <x:c r="G12" s="26" t="str">
        <x:v>Share of full Crown cost covered under the 4% intermediate sensitivity.</x:v>
      </x:c>
      <x:c r="H12" s="26" t="str">
        <x:v>Does not include all social value.</x:v>
      </x:c>
    </x:row>
    <x:row r="13">
      <x:c r="A13" s="26" t="str">
        <x:v>9. Break-even earnings uplift</x:v>
      </x:c>
      <x:c r="B13" s="26" t="str">
        <x:v>Remaining cost gap and earnings PV generated by 1% uplift</x:v>
      </x:c>
      <x:c r="C13" s="26" t="str">
        <x:v>Cost gap ÷ PV per 1%</x:v>
      </x:c>
      <x:c r="D13" s="26" t="str">
        <x:v>(Cost − base benefits) / earnings PV per 1%</x:v>
      </x:c>
      <x:c r="E13" s="1152" t="n">
        <x:f>'Human Capital &amp; Earnings'!J116</x:f>
        <x:v>0.058127484370145754</x:v>
      </x:c>
      <x:c r="F13" s="26" t="str">
        <x:v>%</x:v>
      </x:c>
      <x:c r="G13" s="26" t="str">
        <x:v>Affected-population uplift needed for social break-even at 2%.</x:v>
      </x:c>
      <x:c r="H13" s="26" t="str">
        <x:v>Not the full-cohort equivalent or forecast.</x:v>
      </x:c>
    </x:row>
    <x:row r="14">
      <x:c r="A14" s="26" t="str">
        <x:v>10. Cohort-equivalent uplift</x:v>
      </x:c>
      <x:c r="B14" s="26" t="str">
        <x:v>1% affected uplift and reconciled population denominators</x:v>
      </x:c>
      <x:c r="C14" s="26" t="str">
        <x:v>Value-preserving translation across the full cohort</x:v>
      </x:c>
      <x:c r="D14" s="26" t="str">
        <x:v>1% × effective people ÷ (full cohort × employment probability)</x:v>
      </x:c>
      <x:c r="E14" s="1152" t="n">
        <x:f>'Human Capital &amp; Earnings'!D141</x:f>
        <x:v>0.0016197077249999999</x:v>
      </x:c>
      <x:c r="F14" s="26" t="str">
        <x:v>%</x:v>
      </x:c>
      <x:c r="G14" s="26" t="str">
        <x:v>Equivalent average across the full eligible cohort.</x:v>
      </x:c>
      <x:c r="H14" s="26" t="str">
        <x:v>Explanatory translation, not a second benefit.</x:v>
      </x:c>
    </x:row>
    <x:row r="15">
      <x:c r="A15" s="26" t="str">
        <x:v>11. Core plus targeted scenario</x:v>
      </x:c>
      <x:c r="B15" s="26" t="str">
        <x:v>Lower universal intensity plus targeted incremental cost</x:v>
      </x:c>
      <x:c r="C15" s="26" t="str">
        <x:v>Core cost + targeted share × targeted unit cost</x:v>
      </x:c>
      <x:c r="D15" s="26" t="str">
        <x:v>Universal core + targeted accelerator</x:v>
      </x:c>
      <x:c r="E15" s="1150" t="n">
        <x:f>'Delivery Scenarios'!G21</x:f>
        <x:v>875015750.3583333</x:v>
      </x:c>
      <x:c r="F15" s="26" t="str">
        <x:v>NZD/year</x:v>
      </x:c>
      <x:c r="G15" s="26" t="str">
        <x:v>Leading testable structural scenario cost.</x:v>
      </x:c>
      <x:c r="H15" s="26" t="str">
        <x:v>Retained high-risk effect is materially unproven.</x:v>
      </x:c>
    </x:row>
    <x:row r="16">
      <x:c r="A16" s="26" t="str">
        <x:v>12. Justice sensitivity</x:v>
      </x:c>
      <x:c r="B16" s="26" t="str">
        <x:v>Averted cases, 1% applicable rate, one prisoner-year and resource value</x:v>
      </x:c>
      <x:c r="C16" s="26" t="str">
        <x:v>Cases × 1% × years × unit value</x:v>
      </x:c>
      <x:c r="D16" s="26" t="str">
        <x:v>Cases × rate × years × resource value</x:v>
      </x:c>
      <x:c r="E16" s="1150" t="n">
        <x:f>'Justice Sensitivity'!G7</x:f>
        <x:v>2964909.73725</x:v>
      </x:c>
      <x:c r="F16" s="26" t="str">
        <x:v>NZD</x:v>
      </x:c>
      <x:c r="G16" s="26" t="str">
        <x:v>Illustrative prison resource value outside the headline case.</x:v>
      </x:c>
      <x:c r="H16" s="26" t="str">
        <x:v>Not evidence or cashable Corrections saving.</x:v>
      </x:c>
    </x:row>
    <x:row r="19">
      <x:c r="A19" s="1137" t="str">
        <x:v>KEY INTERPRETATION EXAMPLES</x:v>
      </x:c>
      <x:c r="B19" s="1137"/>
      <x:c r="C19" s="1137"/>
      <x:c r="D19" s="1137"/>
      <x:c r="E19" s="1137"/>
      <x:c r="F19" s="1137"/>
      <x:c r="G19" s="1137"/>
      <x:c r="H19" s="1137"/>
    </x:row>
    <x:row r="20">
      <x:c r="A20" s="26" t="str">
        <x:v>BCR of 1.28x</x:v>
      </x:c>
      <x:c r="B20" s="26" t="str">
        <x:v>Means $1.28 of included benefit for each $1.00 of included cost, and $0.28 net included benefit per dollar.</x:v>
      </x:c>
      <x:c r="C20" s="26" t="str">
        <x:v>It does not mean $1.28 is paid back to the Crown or a guaranteed 28% investment yield.</x:v>
      </x:c>
      <x:c r="D20" s="26"/>
      <x:c r="E20" s="26"/>
      <x:c r="F20" s="26"/>
      <x:c r="G20" s="26"/>
      <x:c r="H20" s="26"/>
    </x:row>
    <x:row r="21">
      <x:c r="A21" s="26" t="str">
        <x:v>Full-expenditure versus transfer-adjusted</x:v>
      </x:c>
      <x:c r="B21" s="26" t="str">
        <x:v>The full-expenditure view uses the entire public expenditure envelope. The transfer-adjusted view provisionally removes pure participant transfers from the national resource-cost denominator.</x:v>
      </x:c>
      <x:c r="C21" s="26" t="str">
        <x:v>Both leave the full Crown appropriation payable; the transfer treatment requires Treasury confirmation.</x:v>
      </x:c>
      <x:c r="D21" s="26"/>
      <x:c r="E21" s="26"/>
      <x:c r="F21" s="26"/>
      <x:c r="G21" s="26"/>
      <x:c r="H21" s="26"/>
    </x:row>
    <x:row r="22">
      <x:c r="A22" s="26" t="str">
        <x:v>Nominal versus real</x:v>
      </x:c>
      <x:c r="B22" s="26" t="str">
        <x:v>Nominal account balance is the face amount. Real balance shows 2026 purchasing power after inflation.</x:v>
      </x:c>
      <x:c r="C22" s="26" t="str">
        <x:v>Do not add the two balances together.</x:v>
      </x:c>
      <x:c r="D22" s="26"/>
      <x:c r="E22" s="26"/>
      <x:c r="F22" s="26"/>
      <x:c r="G22" s="26"/>
      <x:c r="H22" s="26"/>
    </x:row>
    <x:row r="23">
      <x:c r="A23" s="26" t="str">
        <x:v>Learning Capital and debt</x:v>
      </x:c>
      <x:c r="B23" s="26" t="str">
        <x:v>The account can fund approved education and therefore displace borrowing.</x:v>
      </x:c>
      <x:c r="C23" s="26" t="str">
        <x:v>The account balance and debt avoided are two views of the same financial resource, not additive benefits.</x:v>
      </x:c>
      <x:c r="D23" s="26"/>
      <x:c r="E23" s="26"/>
      <x:c r="F23" s="26"/>
      <x:c r="G23" s="26"/>
      <x:c r="H23" s="26"/>
    </x:row>
    <x:row r="24">
      <x:c r="A24" s="26" t="str">
        <x:v>Affected versus cohort equivalent</x:v>
      </x:c>
      <x:c r="B24" s="26" t="str">
        <x:v>The model applies uplift to the effective affected employed population. The value-weighted cohort equivalent spreads the same value across a broader denominator.</x:v>
      </x:c>
      <x:c r="C24" s="26" t="str">
        <x:v>Always label which percentage is being quoted.</x:v>
      </x:c>
      <x:c r="D24" s="26"/>
      <x:c r="E24" s="26"/>
      <x:c r="F24" s="26"/>
      <x:c r="G24" s="26"/>
      <x:c r="H24" s="26"/>
    </x:row>
    <x:row r="25">
      <x:c r="A25" s="26" t="str">
        <x:v>Justice</x:v>
      </x:c>
      <x:c r="B25" s="26" t="str">
        <x:v>Headline justice benefit is zero. The 0.5%, 1% and 2% rows are sensitivities.</x:v>
      </x:c>
      <x:c r="C25" s="26" t="str">
        <x:v>They are not predictions, offence estimates or cashable budget savings.</x:v>
      </x:c>
      <x:c r="D25" s="26"/>
      <x:c r="E25" s="26"/>
      <x:c r="F25" s="26"/>
      <x:c r="G25" s="26"/>
      <x:c r="H25" s="26"/>
    </x:row>
    <x:row r="26">
      <x:c r="A26" s="26" t="str">
        <x:v>Stage-gates</x:v>
      </x:c>
      <x:c r="B26" s="26" t="str">
        <x:v>A positive pilot result is only one input. Scale requires causal, cost, equity, implementation and harm tests.</x:v>
      </x:c>
      <x:c r="C26" s="26" t="str">
        <x:v>Failure can lead to redesign, narrower targeting, delay or stop.</x:v>
      </x:c>
      <x:c r="D26" s="26"/>
      <x:c r="E26" s="26"/>
      <x:c r="F26" s="26"/>
      <x:c r="G26" s="26"/>
      <x:c r="H26" s="26"/>
    </x:row>
    <x:row r="27">
      <x:c r="A27" s="26" t="str">
        <x:v>Return</x:v>
      </x:c>
      <x:c r="B27" s="26" t="str">
        <x:v>Open: Start Here — Guided Tour</x:v>
      </x:c>
      <x:c r="C27" s="26"/>
      <x:c r="D27" s="26"/>
      <x:c r="E27" s="26"/>
      <x:c r="F27" s="26"/>
      <x:c r="G27" s="26"/>
      <x:c r="H27" s="26"/>
    </x:row>
  </x:sheetData>
  <x:mergeCells>
    <x:mergeCell ref="A1:H1"/>
    <x:mergeCell ref="A2:H2"/>
    <x:mergeCell ref="A19:H19"/>
    <x:mergeCell ref="B20:H20"/>
    <x:mergeCell ref="B21:H21"/>
    <x:mergeCell ref="B22:H22"/>
    <x:mergeCell ref="B23:H23"/>
    <x:mergeCell ref="B24:H24"/>
    <x:mergeCell ref="B25:H25"/>
    <x:mergeCell ref="B26:H26"/>
  </x:mergeCells>
  <x:pageMargins left="0.7" right="0.7" top="0.75" bottom="0.75" header="0.3" footer="0.3"/>
</x:worksheet>
</file>

<file path=xl/worksheets/sheet9.xml><?xml version="1.0" encoding="utf-8"?>
<x:worksheet xmlns:x="http://schemas.openxmlformats.org/spreadsheetml/2006/main">
  <x:sheetViews>
    <x:sheetView showGridLines="0" workbookViewId="0"/>
  </x:sheetViews>
  <x:sheetFormatPr defaultRowHeight="15"/>
  <x:cols>
    <x:col min="1" max="1" width="12" hidden="0" customWidth="1"/>
    <x:col min="2" max="2" width="43" hidden="0" customWidth="1"/>
    <x:col min="3" max="3" width="25" hidden="0" customWidth="1"/>
    <x:col min="4" max="4" width="14" hidden="0" customWidth="1"/>
    <x:col min="5" max="5" width="20" hidden="0" customWidth="1"/>
    <x:col min="6" max="6" width="20" hidden="0" customWidth="1"/>
    <x:col min="7" max="7" width="20" hidden="0" customWidth="1"/>
    <x:col min="8" max="8" width="36" hidden="0" customWidth="1"/>
  </x:cols>
  <x:sheetData>
    <x:row r="1">
      <x:c r="A1" s="1156" t="str">
        <x:v>Core Model Checksum and Key-Output Reconciliation</x:v>
      </x:c>
      <x:c r="B1" s="1156"/>
      <x:c r="C1" s="1156"/>
      <x:c r="D1" s="1156"/>
      <x:c r="E1" s="1156"/>
      <x:c r="F1" s="1156"/>
      <x:c r="G1" s="1156"/>
      <x:c r="H1" s="1156"/>
    </x:row>
    <x:row r="2">
      <x:c r="A2" s="1140" t="str">
        <x:v>Each actual result is linked to the controlling cell in this workbook. The expected value is a snapshot from the single corrected master. Every numerical difference must equal zero.</x:v>
      </x:c>
      <x:c r="B2" s="1140"/>
      <x:c r="C2" s="1140"/>
      <x:c r="D2" s="1140"/>
      <x:c r="E2" s="1140"/>
      <x:c r="F2" s="1140"/>
      <x:c r="G2" s="1140"/>
      <x:c r="H2" s="1140"/>
    </x:row>
    <x:row r="3">
      <x:c r="A3" s="26"/>
      <x:c r="B3" s="26"/>
      <x:c r="C3" s="26"/>
      <x:c r="D3" s="26"/>
      <x:c r="E3" s="26"/>
      <x:c r="F3" s="26"/>
      <x:c r="G3" s="26"/>
      <x:c r="H3" s="26"/>
    </x:row>
    <x:row r="4">
      <x:c r="A4" s="1138" t="str">
        <x:v>Metric ID</x:v>
      </x:c>
      <x:c r="B4" s="1138" t="str">
        <x:v>Metric</x:v>
      </x:c>
      <x:c r="C4" s="1138" t="str">
        <x:v>Source sheet</x:v>
      </x:c>
      <x:c r="D4" s="1138" t="str">
        <x:v>Source cell</x:v>
      </x:c>
      <x:c r="E4" s="1138" t="str">
        <x:v>Actual result</x:v>
      </x:c>
      <x:c r="F4" s="1138" t="str">
        <x:v>Expected master result</x:v>
      </x:c>
      <x:c r="G4" s="1138" t="str">
        <x:v>Difference</x:v>
      </x:c>
      <x:c r="H4" s="1138" t="str">
        <x:v>Unit / perspective</x:v>
      </x:c>
    </x:row>
    <x:row r="5">
      <x:c r="A5" s="26" t="str">
        <x:v>COST-01</x:v>
      </x:c>
      <x:c r="B5" s="26" t="str">
        <x:v>Stage 0 central cost</x:v>
      </x:c>
      <x:c r="C5" s="26" t="str">
        <x:v>Stage 0 - Year 0</x:v>
      </x:c>
      <x:c r="D5" s="26" t="str">
        <x:v>H54</x:v>
      </x:c>
      <x:c r="E5" s="1150" t="n">
        <x:f>'Stage 0 - Year 0'!H54</x:f>
        <x:v>5317875</x:v>
      </x:c>
      <x:c r="F5" s="1150" t="n">
        <x:v>5317875</x:v>
      </x:c>
      <x:c r="G5" s="1150" t="n">
        <x:f>IF(AND(ISNUMBER(E5),ISNUMBER(F5)),E5-F5,IF(E5=F5,0,NA()))</x:f>
        <x:v>0</x:v>
      </x:c>
      <x:c r="H5" s="26" t="str">
        <x:v>NZD — Stage 0 feasibility and co-design</x:v>
      </x:c>
    </x:row>
    <x:row r="6">
      <x:c r="A6" s="26" t="str">
        <x:v>COST-02</x:v>
      </x:c>
      <x:c r="B6" s="26" t="str">
        <x:v>Three-year pilot central cost</x:v>
      </x:c>
      <x:c r="C6" s="26" t="str">
        <x:v>Stage 1 - Pilot</x:v>
      </x:c>
      <x:c r="D6" s="26" t="str">
        <x:v>E6</x:v>
      </x:c>
      <x:c r="E6" s="1150" t="n">
        <x:f>'Stage 1 - Pilot'!E6</x:f>
        <x:v>97579970.263125</x:v>
      </x:c>
      <x:c r="F6" s="1150" t="n">
        <x:v>97579970.263125</x:v>
      </x:c>
      <x:c r="G6" s="1150" t="n">
        <x:f>IF(AND(ISNUMBER(E6),ISNUMBER(F6)),E6-F6,IF(E6=F6,0,NA()))</x:f>
        <x:v>0</x:v>
      </x:c>
      <x:c r="H6" s="26" t="str">
        <x:v>NZD — Bounded pilot</x:v>
      </x:c>
    </x:row>
    <x:row r="7">
      <x:c r="A7" s="26" t="str">
        <x:v>COST-03</x:v>
      </x:c>
      <x:c r="B7" s="26" t="str">
        <x:v>Mature annual national cost</x:v>
      </x:c>
      <x:c r="C7" s="26" t="str">
        <x:v>Stage 2 - National</x:v>
      </x:c>
      <x:c r="D7" s="26" t="str">
        <x:v>K48</x:v>
      </x:c>
      <x:c r="E7" s="1150" t="n">
        <x:f>'Stage 2 - National'!K48</x:f>
        <x:v>1526137729.0833335</x:v>
      </x:c>
      <x:c r="F7" s="1150" t="n">
        <x:v>1526137729.0833335</x:v>
      </x:c>
      <x:c r="G7" s="1150" t="n">
        <x:f>IF(AND(ISNUMBER(E7),ISNUMBER(F7)),E7-F7,IF(E7=F7,0,NA()))</x:f>
        <x:v>0</x:v>
      </x:c>
      <x:c r="H7" s="26" t="str">
        <x:v>NZD/year — Conditional national scale</x:v>
      </x:c>
    </x:row>
    <x:row r="8">
      <x:c r="A8" s="26" t="str">
        <x:v>COST-04</x:v>
      </x:c>
      <x:c r="B8" s="26" t="str">
        <x:v>Universal core annual cost</x:v>
      </x:c>
      <x:c r="C8" s="26" t="str">
        <x:v>Delivery Scenarios</x:v>
      </x:c>
      <x:c r="D8" s="26" t="str">
        <x:v>G20</x:v>
      </x:c>
      <x:c r="E8" s="1150" t="n">
        <x:f>'Delivery Scenarios'!G20</x:f>
        <x:v>825136870.3583333</x:v>
      </x:c>
      <x:c r="F8" s="1150" t="n">
        <x:v>825136870.3583333</x:v>
      </x:c>
      <x:c r="G8" s="1150" t="n">
        <x:f>IF(AND(ISNUMBER(E8),ISNUMBER(F8)),E8-F8,IF(E8=F8,0,NA()))</x:f>
        <x:v>0</x:v>
      </x:c>
      <x:c r="H8" s="26" t="str">
        <x:v>NZD/year — Structural scenario</x:v>
      </x:c>
    </x:row>
    <x:row r="9">
      <x:c r="A9" s="26" t="str">
        <x:v>COST-05</x:v>
      </x:c>
      <x:c r="B9" s="26" t="str">
        <x:v>Core plus targeted annual cost</x:v>
      </x:c>
      <x:c r="C9" s="26" t="str">
        <x:v>Delivery Scenarios</x:v>
      </x:c>
      <x:c r="D9" s="26" t="str">
        <x:v>G21</x:v>
      </x:c>
      <x:c r="E9" s="1150" t="n">
        <x:f>'Delivery Scenarios'!G21</x:f>
        <x:v>875015750.3583333</x:v>
      </x:c>
      <x:c r="F9" s="1150" t="n">
        <x:v>875015750.3583333</x:v>
      </x:c>
      <x:c r="G9" s="1150" t="n">
        <x:f>IF(AND(ISNUMBER(E9),ISNUMBER(F9)),E9-F9,IF(E9=F9,0,NA()))</x:f>
        <x:v>0</x:v>
      </x:c>
      <x:c r="H9" s="26" t="str">
        <x:v>NZD/year — Leading testable structural scenario</x:v>
      </x:c>
    </x:row>
    <x:row r="10">
      <x:c r="A10" s="26" t="str">
        <x:v>LC-01</x:v>
      </x:c>
      <x:c r="B10" s="26" t="str">
        <x:v>Five-year Learning Capital contribution per participant</x:v>
      </x:c>
      <x:c r="C10" s="26" t="str">
        <x:v>Learning Capital &amp; ROI</x:v>
      </x:c>
      <x:c r="D10" s="26" t="str">
        <x:v>C23</x:v>
      </x:c>
      <x:c r="E10" s="1150" t="n">
        <x:f>'Learning Capital &amp; ROI'!C23</x:f>
        <x:v>9750</x:v>
      </x:c>
      <x:c r="F10" s="1150" t="n">
        <x:v>9750</x:v>
      </x:c>
      <x:c r="G10" s="1150" t="n">
        <x:f>IF(AND(ISNUMBER(E10),ISNUMBER(F10)),E10-F10,IF(E10=F10,0,NA()))</x:f>
        <x:v>0</x:v>
      </x:c>
      <x:c r="H10" s="26" t="str">
        <x:v>NZD/person — Participant outcome</x:v>
      </x:c>
    </x:row>
    <x:row r="11">
      <x:c r="A11" s="26" t="str">
        <x:v>LC-02</x:v>
      </x:c>
      <x:c r="B11" s="26" t="str">
        <x:v>Central nominal closing Learning Capital balance</x:v>
      </x:c>
      <x:c r="C11" s="26" t="str">
        <x:v>Learning Capital &amp; ROI</x:v>
      </x:c>
      <x:c r="D11" s="26" t="str">
        <x:v>C26</x:v>
      </x:c>
      <x:c r="E11" s="1150" t="n">
        <x:f>'Learning Capital &amp; ROI'!C26</x:f>
        <x:v>10681.574885879425</x:v>
      </x:c>
      <x:c r="F11" s="1150" t="n">
        <x:v>10681.574885879425</x:v>
      </x:c>
      <x:c r="G11" s="1150" t="n">
        <x:f>IF(AND(ISNUMBER(E11),ISNUMBER(F11)),E11-F11,IF(E11=F11,0,NA()))</x:f>
        <x:v>0</x:v>
      </x:c>
      <x:c r="H11" s="26" t="str">
        <x:v>NZD/person — Participant outcome</x:v>
      </x:c>
    </x:row>
    <x:row r="12">
      <x:c r="A12" s="26" t="str">
        <x:v>FISC-01</x:v>
      </x:c>
      <x:c r="B12" s="26" t="str">
        <x:v>Official fair-value cost avoided</x:v>
      </x:c>
      <x:c r="C12" s="26" t="str">
        <x:v>Cohort Bridge</x:v>
      </x:c>
      <x:c r="D12" s="26" t="str">
        <x:v>D28</x:v>
      </x:c>
      <x:c r="E12" s="1150" t="n">
        <x:f>'Cohort Bridge'!D28</x:f>
        <x:v>58449915.55259848</x:v>
      </x:c>
      <x:c r="F12" s="1150" t="n">
        <x:v>58449915.55259848</x:v>
      </x:c>
      <x:c r="G12" s="1150" t="n">
        <x:f>IF(AND(ISNUMBER(E12),ISNUMBER(F12)),E12-F12,IF(E12=F12,0,NA()))</x:f>
        <x:v>0</x:v>
      </x:c>
      <x:c r="H12" s="26" t="str">
        <x:v>NZD/cohort — Crown fiscal offset</x:v>
      </x:c>
    </x:row>
    <x:row r="13">
      <x:c r="A13" s="26" t="str">
        <x:v>FISC-02</x:v>
      </x:c>
      <x:c r="B13" s="26" t="str">
        <x:v>Net Learning Capital Crown fiscal offset</x:v>
      </x:c>
      <x:c r="C13" s="26" t="str">
        <x:v>Cohort Bridge</x:v>
      </x:c>
      <x:c r="D13" s="26" t="str">
        <x:v>D30</x:v>
      </x:c>
      <x:c r="E13" s="1150" t="n">
        <x:f>'Cohort Bridge'!D30</x:f>
        <x:v>5827697.152598478</x:v>
      </x:c>
      <x:c r="F13" s="1150" t="n">
        <x:v>5827697.152598478</x:v>
      </x:c>
      <x:c r="G13" s="1150" t="n">
        <x:f>IF(AND(ISNUMBER(E13),ISNUMBER(F13)),E13-F13,IF(E13=F13,0,NA()))</x:f>
        <x:v>0</x:v>
      </x:c>
      <x:c r="H13" s="26" t="str">
        <x:v>NZD PV/cohort — Crown fiscal effect</x:v>
      </x:c>
    </x:row>
    <x:row r="14">
      <x:c r="A14" s="26" t="str">
        <x:v>HC-01</x:v>
      </x:c>
      <x:c r="B14" s="26" t="str">
        <x:v>Annual eligible cohort</x:v>
      </x:c>
      <x:c r="C14" s="26" t="str">
        <x:v>Human Capital &amp; Earnings</x:v>
      </x:c>
      <x:c r="D14" s="26" t="str">
        <x:v>B29</x:v>
      </x:c>
      <x:c r="E14" s="1150" t="n">
        <x:f>'Human Capital &amp; Earnings'!B29</x:f>
        <x:v>62348.6</x:v>
      </x:c>
      <x:c r="F14" s="1150" t="n">
        <x:v>62348.6</x:v>
      </x:c>
      <x:c r="G14" s="1150" t="n">
        <x:f>IF(AND(ISNUMBER(E14),ISNUMBER(F14)),E14-F14,IF(E14=F14,0,NA()))</x:f>
        <x:v>0</x:v>
      </x:c>
      <x:c r="H14" s="26" t="str">
        <x:v>people — Population reconciliation</x:v>
      </x:c>
    </x:row>
    <x:row r="15">
      <x:c r="A15" s="26" t="str">
        <x:v>HC-02</x:v>
      </x:c>
      <x:c r="B15" s="26" t="str">
        <x:v>Broad non-overlap cohort</x:v>
      </x:c>
      <x:c r="C15" s="26" t="str">
        <x:v>Human Capital &amp; Earnings</x:v>
      </x:c>
      <x:c r="D15" s="26" t="str">
        <x:v>B31</x:v>
      </x:c>
      <x:c r="E15" s="1150" t="n">
        <x:f>'Human Capital &amp; Earnings'!B31</x:f>
        <x:v>60945.756499999996</x:v>
      </x:c>
      <x:c r="F15" s="1150" t="n">
        <x:v>60945.756499999996</x:v>
      </x:c>
      <x:c r="G15" s="1150" t="n">
        <x:f>IF(AND(ISNUMBER(E15),ISNUMBER(F15)),E15-F15,IF(E15=F15,0,NA()))</x:f>
        <x:v>0</x:v>
      </x:c>
      <x:c r="H15" s="26" t="str">
        <x:v>people — Population reconciliation</x:v>
      </x:c>
    </x:row>
    <x:row r="16">
      <x:c r="A16" s="26" t="str">
        <x:v>HC-03</x:v>
      </x:c>
      <x:c r="B16" s="26" t="str">
        <x:v>Effective affected employed population</x:v>
      </x:c>
      <x:c r="C16" s="26" t="str">
        <x:v>Human Capital &amp; Earnings</x:v>
      </x:c>
      <x:c r="D16" s="26" t="str">
        <x:v>B41</x:v>
      </x:c>
      <x:c r="E16" s="1150" t="n">
        <x:f>'Human Capital &amp; Earnings'!B41</x:f>
        <x:v>8583.853270349473</x:v>
      </x:c>
      <x:c r="F16" s="1150" t="n">
        <x:v>8583.853270349473</x:v>
      </x:c>
      <x:c r="G16" s="1150" t="n">
        <x:f>IF(AND(ISNUMBER(E16),ISNUMBER(F16)),E16-F16,IF(E16=F16,0,NA()))</x:f>
        <x:v>0</x:v>
      </x:c>
      <x:c r="H16" s="26" t="str">
        <x:v>people — Population reconciliation</x:v>
      </x:c>
    </x:row>
    <x:row r="17">
      <x:c r="A17" s="26" t="str">
        <x:v>HC-04</x:v>
      </x:c>
      <x:c r="B17" s="26" t="str">
        <x:v>1% value-weighted equivalent uplift — broad cohort</x:v>
      </x:c>
      <x:c r="C17" s="26" t="str">
        <x:v>Human Capital &amp; Earnings</x:v>
      </x:c>
      <x:c r="D17" s="26" t="str">
        <x:v>D140</x:v>
      </x:c>
      <x:c r="E17" s="1152" t="n">
        <x:f>'Human Capital &amp; Earnings'!D140</x:f>
        <x:v>0.00165699</x:v>
      </x:c>
      <x:c r="F17" s="1152" t="n">
        <x:v>0.00165699</x:v>
      </x:c>
      <x:c r="G17" s="1152" t="n">
        <x:f>IF(AND(ISNUMBER(E17),ISNUMBER(F17)),E17-F17,IF(E17=F17,0,NA()))</x:f>
        <x:v>0</x:v>
      </x:c>
      <x:c r="H17" s="26" t="str">
        <x:v>% — Earnings interpretation</x:v>
      </x:c>
    </x:row>
    <x:row r="18">
      <x:c r="A18" s="26" t="str">
        <x:v>HC-05</x:v>
      </x:c>
      <x:c r="B18" s="26" t="str">
        <x:v>1% value-weighted equivalent uplift — full cohort</x:v>
      </x:c>
      <x:c r="C18" s="26" t="str">
        <x:v>Human Capital &amp; Earnings</x:v>
      </x:c>
      <x:c r="D18" s="26" t="str">
        <x:v>D141</x:v>
      </x:c>
      <x:c r="E18" s="1152" t="n">
        <x:f>'Human Capital &amp; Earnings'!D141</x:f>
        <x:v>0.0016197077249999999</x:v>
      </x:c>
      <x:c r="F18" s="1152" t="n">
        <x:v>0.0016197077249999999</x:v>
      </x:c>
      <x:c r="G18" s="1152" t="n">
        <x:f>IF(AND(ISNUMBER(E18),ISNUMBER(F18)),E18-F18,IF(E18=F18,0,NA()))</x:f>
        <x:v>0</x:v>
      </x:c>
      <x:c r="H18" s="26" t="str">
        <x:v>% — Earnings interpretation</x:v>
      </x:c>
    </x:row>
    <x:row r="19">
      <x:c r="A19" s="26" t="str">
        <x:v>HC-06</x:v>
      </x:c>
      <x:c r="B19" s="26" t="str">
        <x:v>1% simple headcount-weighted equivalent — full cohort</x:v>
      </x:c>
      <x:c r="C19" s="26" t="str">
        <x:v>Human Capital &amp; Earnings</x:v>
      </x:c>
      <x:c r="D19" s="26" t="str">
        <x:v>D142</x:v>
      </x:c>
      <x:c r="E19" s="1152" t="n">
        <x:f>'Human Capital &amp; Earnings'!D142</x:f>
        <x:v>0.0013767515662499999</x:v>
      </x:c>
      <x:c r="F19" s="1152" t="n">
        <x:v>0.0013767515662499999</x:v>
      </x:c>
      <x:c r="G19" s="1152" t="n">
        <x:f>IF(AND(ISNUMBER(E19),ISNUMBER(F19)),E19-F19,IF(E19=F19,0,NA()))</x:f>
        <x:v>0</x:v>
      </x:c>
      <x:c r="H19" s="26" t="str">
        <x:v>% — Earnings interpretation</x:v>
      </x:c>
    </x:row>
    <x:row r="20">
      <x:c r="A20" s="26" t="str">
        <x:v>BCR-01</x:v>
      </x:c>
      <x:c r="B20" s="26" t="str">
        <x:v>Full-expenditure BCR at 1% uplift — 2%</x:v>
      </x:c>
      <x:c r="C20" s="26" t="str">
        <x:v>Human Capital &amp; Earnings</x:v>
      </x:c>
      <x:c r="D20" s="26" t="str">
        <x:v>J99</x:v>
      </x:c>
      <x:c r="E20" s="1151" t="n">
        <x:f>'Human Capital &amp; Earnings'!J99</x:f>
        <x:v>0.3817901563689555</x:v>
      </x:c>
      <x:c r="F20" s="1151" t="n">
        <x:v>0.3817901563689555</x:v>
      </x:c>
      <x:c r="G20" s="1151" t="n">
        <x:f>IF(AND(ISNUMBER(E20),ISNUMBER(F20)),E20-F20,IF(E20=F20,0,NA()))</x:f>
        <x:v>0</x:v>
      </x:c>
      <x:c r="H20" s="26" t="str">
        <x:v>x — Treasury-aligned lead social view</x:v>
      </x:c>
    </x:row>
    <x:row r="21">
      <x:c r="A21" s="26" t="str">
        <x:v>BCR-02</x:v>
      </x:c>
      <x:c r="B21" s="26" t="str">
        <x:v>Full-expenditure BCR at 1% uplift — 4%</x:v>
      </x:c>
      <x:c r="C21" s="26" t="str">
        <x:v>Human Capital &amp; Earnings</x:v>
      </x:c>
      <x:c r="D21" s="26" t="str">
        <x:v>K99</x:v>
      </x:c>
      <x:c r="E21" s="1151" t="n">
        <x:f>'Human Capital &amp; Earnings'!K99</x:f>
        <x:v>0.3410767689181383</x:v>
      </x:c>
      <x:c r="F21" s="1151" t="n">
        <x:v>0.3410767689181383</x:v>
      </x:c>
      <x:c r="G21" s="1151" t="n">
        <x:f>IF(AND(ISNUMBER(E21),ISNUMBER(F21)),E21-F21,IF(E21=F21,0,NA()))</x:f>
        <x:v>0</x:v>
      </x:c>
      <x:c r="H21" s="26" t="str">
        <x:v>x — Intermediate sensitivity</x:v>
      </x:c>
    </x:row>
    <x:row r="22">
      <x:c r="A22" s="26" t="str">
        <x:v>BCR-03</x:v>
      </x:c>
      <x:c r="B22" s="26" t="str">
        <x:v>Full-expenditure BCR at 1% uplift — 8%</x:v>
      </x:c>
      <x:c r="C22" s="26" t="str">
        <x:v>Human Capital &amp; Earnings</x:v>
      </x:c>
      <x:c r="D22" s="26" t="str">
        <x:v>L99</x:v>
      </x:c>
      <x:c r="E22" s="1151" t="n">
        <x:f>'Human Capital &amp; Earnings'!L99</x:f>
        <x:v>0.3016465071613768</x:v>
      </x:c>
      <x:c r="F22" s="1151" t="n">
        <x:v>0.3016465071613768</x:v>
      </x:c>
      <x:c r="G22" s="1151" t="n">
        <x:f>IF(AND(ISNUMBER(E22),ISNUMBER(F22)),E22-F22,IF(E22=F22,0,NA()))</x:f>
        <x:v>0</x:v>
      </x:c>
      <x:c r="H22" s="26" t="str">
        <x:v>x — High sensitivity</x:v>
      </x:c>
    </x:row>
    <x:row r="23">
      <x:c r="A23" s="26" t="str">
        <x:v>BCR-04</x:v>
      </x:c>
      <x:c r="B23" s="26" t="str">
        <x:v>Provisional alternative economic treatment of participant transfers — not Treasury-confirmed — 2%</x:v>
      </x:c>
      <x:c r="C23" s="26" t="str">
        <x:v>Human Capital &amp; Earnings</x:v>
      </x:c>
      <x:c r="D23" s="26" t="str">
        <x:v>O99</x:v>
      </x:c>
      <x:c r="E23" s="1151" t="n">
        <x:f>'Human Capital &amp; Earnings'!O99</x:f>
        <x:v>1.8775030857228854</x:v>
      </x:c>
      <x:c r="F23" s="1151" t="n">
        <x:v>1.8775030857228854</x:v>
      </x:c>
      <x:c r="G23" s="1151" t="n">
        <x:f>IF(AND(ISNUMBER(E23),ISNUMBER(F23)),E23-F23,IF(E23=F23,0,NA()))</x:f>
        <x:v>0</x:v>
      </x:c>
      <x:c r="H23" s="26" t="str">
        <x:v>x — Provisional national economic view</x:v>
      </x:c>
    </x:row>
    <x:row r="24">
      <x:c r="A24" s="26" t="str">
        <x:v>BCR-05</x:v>
      </x:c>
      <x:c r="B24" s="26" t="str">
        <x:v>Provisional alternative economic treatment of participant transfers — not Treasury-confirmed — 4%</x:v>
      </x:c>
      <x:c r="C24" s="26" t="str">
        <x:v>Human Capital &amp; Earnings</x:v>
      </x:c>
      <x:c r="D24" s="26" t="str">
        <x:v>P99</x:v>
      </x:c>
      <x:c r="E24" s="1151" t="n">
        <x:f>'Human Capital &amp; Earnings'!P99</x:f>
        <x:v>1.6772896719038268</x:v>
      </x:c>
      <x:c r="F24" s="1151" t="n">
        <x:v>1.6772896719038268</x:v>
      </x:c>
      <x:c r="G24" s="1151" t="n">
        <x:f>IF(AND(ISNUMBER(E24),ISNUMBER(F24)),E24-F24,IF(E24=F24,0,NA()))</x:f>
        <x:v>0</x:v>
      </x:c>
      <x:c r="H24" s="26" t="str">
        <x:v>x — Provisional intermediate view</x:v>
      </x:c>
    </x:row>
    <x:row r="25">
      <x:c r="A25" s="26" t="str">
        <x:v>BCR-06</x:v>
      </x:c>
      <x:c r="B25" s="26" t="str">
        <x:v>Provisional alternative economic treatment of participant transfers — not Treasury-confirmed — 8%</x:v>
      </x:c>
      <x:c r="C25" s="26" t="str">
        <x:v>Human Capital &amp; Earnings</x:v>
      </x:c>
      <x:c r="D25" s="26" t="str">
        <x:v>Q99</x:v>
      </x:c>
      <x:c r="E25" s="1151" t="n">
        <x:f>'Human Capital &amp; Earnings'!Q99</x:f>
        <x:v>1.4833861966983553</x:v>
      </x:c>
      <x:c r="F25" s="1151" t="n">
        <x:v>1.4833861966983553</x:v>
      </x:c>
      <x:c r="G25" s="1151" t="n">
        <x:f>IF(AND(ISNUMBER(E25),ISNUMBER(F25)),E25-F25,IF(E25=F25,0,NA()))</x:f>
        <x:v>0</x:v>
      </x:c>
      <x:c r="H25" s="26" t="str">
        <x:v>x — Provisional high view</x:v>
      </x:c>
    </x:row>
    <x:row r="26">
      <x:c r="A26" s="26" t="str">
        <x:v>FISC-03</x:v>
      </x:c>
      <x:c r="B26" s="26" t="str">
        <x:v>Crown fiscal coverage at 1% uplift — 4%</x:v>
      </x:c>
      <x:c r="C26" s="26" t="str">
        <x:v>Human Capital &amp; Earnings</x:v>
      </x:c>
      <x:c r="D26" s="26" t="str">
        <x:v>M99</x:v>
      </x:c>
      <x:c r="E26" s="1151" t="n">
        <x:f>'Human Capital &amp; Earnings'!M99</x:f>
        <x:v>0.13913014189776074</x:v>
      </x:c>
      <x:c r="F26" s="1151" t="n">
        <x:v>0.13913014189776074</x:v>
      </x:c>
      <x:c r="G26" s="1151" t="n">
        <x:f>IF(AND(ISNUMBER(E26),ISNUMBER(F26)),E26-F26,IF(E26=F26,0,NA()))</x:f>
        <x:v>0</x:v>
      </x:c>
      <x:c r="H26" s="26" t="str">
        <x:v>x — Crown fiscal perspective</x:v>
      </x:c>
    </x:row>
    <x:row r="27">
      <x:c r="A27" s="26" t="str">
        <x:v>BE-01</x:v>
      </x:c>
      <x:c r="B27" s="26" t="str">
        <x:v>Mature social break-even uplift — 2%</x:v>
      </x:c>
      <x:c r="C27" s="26" t="str">
        <x:v>Human Capital &amp; Earnings</x:v>
      </x:c>
      <x:c r="D27" s="26" t="str">
        <x:v>J116</x:v>
      </x:c>
      <x:c r="E27" s="1152" t="n">
        <x:f>'Human Capital &amp; Earnings'!J116</x:f>
        <x:v>0.058127484370145754</x:v>
      </x:c>
      <x:c r="F27" s="1152" t="n">
        <x:v>0.058127484370145754</x:v>
      </x:c>
      <x:c r="G27" s="1152" t="n">
        <x:f>IF(AND(ISNUMBER(E27),ISNUMBER(F27)),E27-F27,IF(E27=F27,0,NA()))</x:f>
        <x:v>0</x:v>
      </x:c>
      <x:c r="H27" s="26" t="str">
        <x:v>% — Treasury-aligned lead break-even</x:v>
      </x:c>
    </x:row>
    <x:row r="28">
      <x:c r="A28" s="26" t="str">
        <x:v>BE-02</x:v>
      </x:c>
      <x:c r="B28" s="26" t="str">
        <x:v>Mature social break-even uplift — 4%</x:v>
      </x:c>
      <x:c r="C28" s="26" t="str">
        <x:v>Human Capital &amp; Earnings</x:v>
      </x:c>
      <x:c r="D28" s="26" t="str">
        <x:v>J117</x:v>
      </x:c>
      <x:c r="E28" s="1152" t="n">
        <x:f>'Human Capital &amp; Earnings'!J117</x:f>
        <x:v>0.0851002355478312</x:v>
      </x:c>
      <x:c r="F28" s="1152" t="n">
        <x:v>0.0851002355478312</x:v>
      </x:c>
      <x:c r="G28" s="1152" t="n">
        <x:f>IF(AND(ISNUMBER(E28),ISNUMBER(F28)),E28-F28,IF(E28=F28,0,NA()))</x:f>
        <x:v>0</x:v>
      </x:c>
      <x:c r="H28" s="26" t="str">
        <x:v>% — Intermediate break-even</x:v>
      </x:c>
    </x:row>
    <x:row r="29">
      <x:c r="A29" s="26" t="str">
        <x:v>BE-03</x:v>
      </x:c>
      <x:c r="B29" s="26" t="str">
        <x:v>Mature social break-even uplift — 8%</x:v>
      </x:c>
      <x:c r="C29" s="26" t="str">
        <x:v>Human Capital &amp; Earnings</x:v>
      </x:c>
      <x:c r="D29" s="26" t="str">
        <x:v>J118</x:v>
      </x:c>
      <x:c r="E29" s="1152" t="n">
        <x:f>'Human Capital &amp; Earnings'!J118</x:f>
        <x:v>0.15455998337625385</x:v>
      </x:c>
      <x:c r="F29" s="1152" t="n">
        <x:v>0.15455998337625385</x:v>
      </x:c>
      <x:c r="G29" s="1152" t="n">
        <x:f>IF(AND(ISNUMBER(E29),ISNUMBER(F29)),E29-F29,IF(E29=F29,0,NA()))</x:f>
        <x:v>0</x:v>
      </x:c>
      <x:c r="H29" s="26" t="str">
        <x:v>% — High-rate break-even</x:v>
      </x:c>
    </x:row>
    <x:row r="30">
      <x:c r="A30" s="26" t="str">
        <x:v>JUST-01</x:v>
      </x:c>
      <x:c r="B30" s="26" t="str">
        <x:v>Central 1% justice resource sensitivity</x:v>
      </x:c>
      <x:c r="C30" s="26" t="str">
        <x:v>Justice Sensitivity</x:v>
      </x:c>
      <x:c r="D30" s="26" t="str">
        <x:v>G7</x:v>
      </x:c>
      <x:c r="E30" s="1150" t="n">
        <x:f>'Justice Sensitivity'!G7</x:f>
        <x:v>2964909.73725</x:v>
      </x:c>
      <x:c r="F30" s="1150" t="n">
        <x:v>2964909.73725</x:v>
      </x:c>
      <x:c r="G30" s="1150" t="n">
        <x:f>IF(AND(ISNUMBER(E30),ISNUMBER(F30)),E30-F30,IF(E30=F30,0,NA()))</x:f>
        <x:v>0</x:v>
      </x:c>
      <x:c r="H30" s="26" t="str">
        <x:v>NZD — Illustrative sensitivity only</x:v>
      </x:c>
    </x:row>
    <x:row r="31">
      <x:c r="A31" s="26" t="str">
        <x:v>GATE-01</x:v>
      </x:c>
      <x:c r="B31" s="26" t="str">
        <x:v>Minimum projected lifetime social BCR</x:v>
      </x:c>
      <x:c r="C31" s="26" t="str">
        <x:v>Assumptions</x:v>
      </x:c>
      <x:c r="D31" s="26" t="str">
        <x:v>E185</x:v>
      </x:c>
      <x:c r="E31" s="1151" t="n">
        <x:f>'Assumptions'!E185</x:f>
        <x:v>1</x:v>
      </x:c>
      <x:c r="F31" s="1151" t="n">
        <x:v>1</x:v>
      </x:c>
      <x:c r="G31" s="1151" t="n">
        <x:f>IF(AND(ISNUMBER(E31),ISNUMBER(F31)),E31-F31,IF(E31=F31,0,NA()))</x:f>
        <x:v>0</x:v>
      </x:c>
      <x:c r="H31" s="26" t="str">
        <x:v>x — Provisional stage-gate threshold</x:v>
      </x:c>
    </x:row>
    <x:row r="32">
      <x:c r="A32" s="26" t="str">
        <x:v>GATE-02</x:v>
      </x:c>
      <x:c r="B32" s="26" t="str">
        <x:v>Minimum projected Crown fiscal coverage</x:v>
      </x:c>
      <x:c r="C32" s="26" t="str">
        <x:v>Assumptions</x:v>
      </x:c>
      <x:c r="D32" s="26" t="str">
        <x:v>E186</x:v>
      </x:c>
      <x:c r="E32" s="1151" t="n">
        <x:f>'Assumptions'!E186</x:f>
        <x:v>0.35</x:v>
      </x:c>
      <x:c r="F32" s="1151" t="n">
        <x:v>0.35</x:v>
      </x:c>
      <x:c r="G32" s="1151" t="n">
        <x:f>IF(AND(ISNUMBER(E32),ISNUMBER(F32)),E32-F32,IF(E32=F32,0,NA()))</x:f>
        <x:v>0</x:v>
      </x:c>
      <x:c r="H32" s="26" t="str">
        <x:v>x — Provisional stage-gate threshold</x:v>
      </x:c>
    </x:row>
    <x:row r="33">
      <x:c r="A33" s="26"/>
      <x:c r="B33" s="26"/>
      <x:c r="C33" s="26"/>
      <x:c r="D33" s="26"/>
      <x:c r="E33" s="26"/>
      <x:c r="F33" s="26"/>
      <x:c r="G33" s="26"/>
      <x:c r="H33" s="26"/>
    </x:row>
    <x:row r="34">
      <x:c r="A34" s="1155" t="str">
        <x:v>Reconciliation status</x:v>
      </x:c>
      <x:c r="B34" s="1155"/>
      <x:c r="C34" s="1155"/>
      <x:c r="D34" s="1155"/>
      <x:c r="E34" s="1155"/>
      <x:c r="F34" s="1155"/>
      <x:c r="G34" s="1155" t="str">
        <x:f>IF(COUNTIF(G5:G32,"&lt;&gt;0")=0,"PASS","CHECK")</x:f>
        <x:v>PASS</x:v>
      </x:c>
      <x:c r="H34" s="1155" t="str">
        <x:v>PASS requires every difference above to equal zero.</x:v>
      </x:c>
    </x:row>
  </x:sheetData>
  <x:mergeCells>
    <x:mergeCell ref="A1:H1"/>
    <x:mergeCell ref="A2:H2"/>
  </x:mergeCells>
  <x:pageMargins left="0.7" right="0.7" top="0.75" bottom="0.75" header="0.3" footer="0.3"/>
</x:worksheet>
</file>

<file path=xl/worksheets/sheet10.xml><?xml version="1.0" encoding="utf-8"?>
<x:worksheet xmlns:x="http://schemas.openxmlformats.org/spreadsheetml/2006/main">
  <x:sheetViews>
    <x:sheetView showGridLines="0" workbookViewId="0"/>
  </x:sheetViews>
  <x:sheetFormatPr defaultRowHeight="15"/>
  <x:cols>
    <x:col min="1" max="1" width="35" hidden="0" customWidth="1"/>
    <x:col min="2" max="2" width="17" hidden="0" customWidth="1"/>
    <x:col min="3" max="3" width="17" hidden="0" customWidth="1"/>
    <x:col min="4" max="4" width="18" hidden="0" customWidth="1"/>
    <x:col min="5" max="5" width="18" hidden="0" customWidth="1"/>
    <x:col min="6" max="6" width="18" hidden="0" customWidth="1"/>
    <x:col min="7" max="7" width="19" hidden="0" customWidth="1"/>
    <x:col min="8" max="8" width="19" hidden="0" customWidth="1"/>
    <x:col min="9" max="9" width="28" hidden="0" customWidth="1"/>
    <x:col min="21" max="21" width="20" hidden="0" customWidth="1"/>
    <x:col min="22" max="22" width="24" hidden="0" customWidth="1"/>
    <x:col min="23" max="23" width="24" hidden="0" customWidth="1"/>
    <x:col min="24" max="24" width="24" hidden="0" customWidth="1"/>
    <x:col min="10" max="10" width="42" hidden="0" customWidth="1"/>
  </x:cols>
  <x:sheetData>
    <x:row r="1">
      <x:c r="A1" s="1095" t="str">
        <x:v>Earnings Uplift Bridge — Affected Population and Cohort-Equivalent Measures</x:v>
      </x:c>
      <x:c r="B1" s="1095"/>
      <x:c r="C1" s="1095"/>
      <x:c r="D1" s="1095"/>
      <x:c r="E1" s="1095"/>
      <x:c r="F1" s="1095"/>
      <x:c r="G1" s="1095"/>
      <x:c r="H1" s="1095"/>
      <x:c r="I1" s="1095"/>
      <x:c r="U1" s="1196"/>
      <x:c r="V1" s="1196"/>
      <x:c r="W1" s="1196"/>
      <x:c r="X1" s="1196"/>
    </x:row>
    <x:row r="2">
      <x:c r="A2" s="1093" t="str">
        <x:v>The model applies an earnings uplift only to an effective affected employed population. Equivalent averages show how the same modelled value would look if spread across broader population denominators.</x:v>
      </x:c>
      <x:c r="B2" s="1093"/>
      <x:c r="C2" s="1093"/>
      <x:c r="D2" s="1093"/>
      <x:c r="E2" s="1093"/>
      <x:c r="F2" s="1093"/>
      <x:c r="G2" s="1093"/>
      <x:c r="H2" s="1093"/>
      <x:c r="I2" s="1093"/>
      <x:c r="U2" s="1201"/>
      <x:c r="V2" s="1201"/>
      <x:c r="W2" s="1201"/>
      <x:c r="X2" s="1201"/>
    </x:row>
    <x:row r="3">
      <x:c r="A3" s="26"/>
      <x:c r="B3" s="26"/>
      <x:c r="C3" s="26"/>
      <x:c r="D3" s="26"/>
      <x:c r="E3" s="26"/>
      <x:c r="F3" s="26"/>
      <x:c r="G3" s="26"/>
      <x:c r="H3" s="26"/>
      <x:c r="I3" s="26"/>
      <x:c r="U3" s="1201"/>
      <x:c r="V3" s="1201"/>
      <x:c r="W3" s="1201"/>
      <x:c r="X3" s="1201"/>
    </x:row>
    <x:row r="4">
      <x:c r="A4" s="1065" t="str">
        <x:v>Population reconciliation</x:v>
      </x:c>
      <x:c r="B4" s="1065" t="str">
        <x:v>Central value</x:v>
      </x:c>
      <x:c r="C4" s="1065" t="str">
        <x:v>Unit</x:v>
      </x:c>
      <x:c r="D4" s="1065" t="str">
        <x:v>Explanation</x:v>
      </x:c>
      <x:c r="E4" s="26"/>
      <x:c r="F4" s="26"/>
      <x:c r="G4" s="26"/>
      <x:c r="H4" s="26"/>
      <x:c r="I4" s="26"/>
      <x:c r="U4" s="1201"/>
      <x:c r="V4" s="1201"/>
      <x:c r="W4" s="1201"/>
      <x:c r="X4" s="1201"/>
    </x:row>
    <x:row r="5">
      <x:c r="A5" s="26" t="str">
        <x:v>Annual eligible cohort</x:v>
      </x:c>
      <x:c r="B5" s="1069" t="n">
        <x:f>'Human Capital &amp; Earnings'!$B$29</x:f>
        <x:v>62348.6</x:v>
      </x:c>
      <x:c r="C5" s="26" t="str">
        <x:v>people</x:v>
      </x:c>
      <x:c r="D5" s="26" t="str">
        <x:v>One entrant/exit cohort aligned with one mature annual programme cost.</x:v>
      </x:c>
      <x:c r="E5" s="26"/>
      <x:c r="F5" s="26"/>
      <x:c r="G5" s="26"/>
      <x:c r="H5" s="26"/>
      <x:c r="I5" s="26"/>
      <x:c r="U5" s="1201"/>
      <x:c r="V5" s="1201"/>
      <x:c r="W5" s="1201"/>
      <x:c r="X5" s="1201"/>
    </x:row>
    <x:row r="6">
      <x:c r="A6" s="26" t="str">
        <x:v>Less: separately valued sustained-NEET cases</x:v>
      </x:c>
      <x:c r="B6" s="1069" t="n">
        <x:f>'Human Capital &amp; Earnings'!$B$30</x:f>
        <x:v>1402.8434999999997</x:v>
      </x:c>
      <x:c r="C6" s="26" t="str">
        <x:v>people</x:v>
      </x:c>
      <x:c r="D6" s="26" t="str">
        <x:v>Removed to prevent overlap with the separate high-risk benefit stream.</x:v>
      </x:c>
      <x:c r="E6" s="26"/>
      <x:c r="F6" s="26"/>
      <x:c r="G6" s="26"/>
      <x:c r="H6" s="26"/>
      <x:c r="I6" s="26"/>
      <x:c r="U6" s="1201"/>
      <x:c r="V6" s="1201"/>
      <x:c r="W6" s="1201"/>
      <x:c r="X6" s="1201"/>
    </x:row>
    <x:row r="7">
      <x:c r="A7" s="26" t="str">
        <x:v>Broad non-overlap cohort</x:v>
      </x:c>
      <x:c r="B7" s="1069" t="n">
        <x:f>'Human Capital &amp; Earnings'!$B$31</x:f>
        <x:v>60945.756499999996</x:v>
      </x:c>
      <x:c r="C7" s="26" t="str">
        <x:v>people</x:v>
      </x:c>
      <x:c r="D7" s="26" t="str">
        <x:v>Annual eligible cohort less sustained-NEET cases.</x:v>
      </x:c>
      <x:c r="E7" s="26"/>
      <x:c r="F7" s="26"/>
      <x:c r="G7" s="26"/>
      <x:c r="H7" s="26"/>
      <x:c r="I7" s="26"/>
      <x:c r="U7" s="1201"/>
      <x:c r="V7" s="1201"/>
      <x:c r="W7" s="1201"/>
      <x:c r="X7" s="1201"/>
    </x:row>
    <x:row r="8">
      <x:c r="A8" s="26" t="str">
        <x:v>Affected share</x:v>
      </x:c>
      <x:c r="B8" s="1096" t="n">
        <x:f>'Human Capital &amp; Earnings'!$B$32</x:f>
        <x:v>0.5</x:v>
      </x:c>
      <x:c r="C8" s="26" t="str">
        <x:v>%</x:v>
      </x:c>
      <x:c r="D8" s="26" t="str">
        <x:v>Share of the broad cohort potentially receiving an earnings effect.</x:v>
      </x:c>
      <x:c r="E8" s="26"/>
      <x:c r="F8" s="26"/>
      <x:c r="G8" s="26"/>
      <x:c r="H8" s="26"/>
      <x:c r="I8" s="26"/>
      <x:c r="U8" s="1196"/>
      <x:c r="V8" s="1196"/>
      <x:c r="W8" s="1196"/>
      <x:c r="X8" s="1196"/>
    </x:row>
    <x:row r="9">
      <x:c r="A9" s="26" t="str">
        <x:v>Domestic retention</x:v>
      </x:c>
      <x:c r="B9" s="1096" t="n">
        <x:f>'Human Capital &amp; Earnings'!$B$33</x:f>
        <x:v>0.9</x:v>
      </x:c>
      <x:c r="C9" s="26" t="str">
        <x:v>%</x:v>
      </x:c>
      <x:c r="D9" s="26" t="str">
        <x:v>Share of the effect retained in New Zealand.</x:v>
      </x:c>
      <x:c r="E9" s="26"/>
      <x:c r="F9" s="26"/>
      <x:c r="G9" s="26"/>
      <x:c r="H9" s="26"/>
      <x:c r="I9" s="26"/>
      <x:c r="U9" s="1196"/>
      <x:c r="V9" s="1196"/>
      <x:c r="W9" s="1196"/>
      <x:c r="X9" s="1196"/>
    </x:row>
    <x:row r="10">
      <x:c r="A10" s="26" t="str">
        <x:v>Programme attribution</x:v>
      </x:c>
      <x:c r="B10" s="1096" t="n">
        <x:f>'Human Capital &amp; Earnings'!$B$34</x:f>
        <x:v>0.6</x:v>
      </x:c>
      <x:c r="C10" s="26" t="str">
        <x:v>%</x:v>
      </x:c>
      <x:c r="D10" s="26" t="str">
        <x:v>Share causally attributable to the programme.</x:v>
      </x:c>
      <x:c r="E10" s="26"/>
      <x:c r="F10" s="26"/>
      <x:c r="G10" s="26"/>
      <x:c r="H10" s="26"/>
      <x:c r="I10" s="26"/>
      <x:c r="U10" s="1196"/>
      <x:c r="V10" s="1196"/>
      <x:c r="W10" s="1196"/>
      <x:c r="X10" s="1196"/>
    </x:row>
    <x:row r="11">
      <x:c r="A11" s="26" t="str">
        <x:v>Persistence</x:v>
      </x:c>
      <x:c r="B11" s="1096" t="n">
        <x:f>'Human Capital &amp; Earnings'!$B$35</x:f>
        <x:v>0.8</x:v>
      </x:c>
      <x:c r="C11" s="26" t="str">
        <x:v>%</x:v>
      </x:c>
      <x:c r="D11" s="26" t="str">
        <x:v>Long-run share remaining after fade-out.</x:v>
      </x:c>
      <x:c r="E11" s="26"/>
      <x:c r="F11" s="26"/>
      <x:c r="G11" s="26"/>
      <x:c r="H11" s="26"/>
      <x:c r="I11" s="26"/>
      <x:c r="U11" s="1196"/>
      <x:c r="V11" s="1196"/>
      <x:c r="W11" s="1196"/>
      <x:c r="X11" s="1196"/>
    </x:row>
    <x:row r="12">
      <x:c r="A12" s="26" t="str">
        <x:v>Deadweight retained</x:v>
      </x:c>
      <x:c r="B12" s="1096" t="n">
        <x:f>1-'Human Capital &amp; Earnings'!$B$36</x:f>
        <x:v>0.85</x:v>
      </x:c>
      <x:c r="C12" s="26" t="str">
        <x:v>%</x:v>
      </x:c>
      <x:c r="D12" s="26" t="str">
        <x:v>One minus outcomes that would have occurred anyway.</x:v>
      </x:c>
      <x:c r="E12" s="26"/>
      <x:c r="F12" s="26"/>
      <x:c r="G12" s="26"/>
      <x:c r="H12" s="26"/>
      <x:c r="I12" s="26"/>
      <x:c r="U12" s="1196"/>
      <x:c r="V12" s="1196"/>
      <x:c r="W12" s="1196"/>
      <x:c r="X12" s="1196"/>
    </x:row>
    <x:row r="13">
      <x:c r="A13" s="26" t="str">
        <x:v>Worker displacement retained</x:v>
      </x:c>
      <x:c r="B13" s="1096" t="n">
        <x:f>1-'Human Capital &amp; Earnings'!$B$37</x:f>
        <x:v>0.95</x:v>
      </x:c>
      <x:c r="C13" s="26" t="str">
        <x:v>%</x:v>
      </x:c>
      <x:c r="D13" s="26" t="str">
        <x:v>One minus substitution of other workers.</x:v>
      </x:c>
      <x:c r="E13" s="26"/>
      <x:c r="F13" s="26"/>
      <x:c r="G13" s="26"/>
      <x:c r="H13" s="26"/>
      <x:c r="I13" s="26"/>
      <x:c r="U13" s="1196"/>
      <x:c r="V13" s="1196"/>
      <x:c r="W13" s="1196"/>
      <x:c r="X13" s="1196"/>
    </x:row>
    <x:row r="14">
      <x:c r="A14" s="26" t="str">
        <x:v>General-equilibrium retention</x:v>
      </x:c>
      <x:c r="B14" s="1096" t="n">
        <x:f>1-'Human Capital &amp; Earnings'!$B$38</x:f>
        <x:v>0.95</x:v>
      </x:c>
      <x:c r="C14" s="26" t="str">
        <x:v>%</x:v>
      </x:c>
      <x:c r="D14" s="26" t="str">
        <x:v>One minus wider wage, supply and capacity effects.</x:v>
      </x:c>
      <x:c r="E14" s="26"/>
      <x:c r="F14" s="26"/>
      <x:c r="G14" s="26"/>
      <x:c r="H14" s="26"/>
      <x:c r="I14" s="26"/>
      <x:c r="U14" s="1196"/>
      <x:c r="V14" s="1196"/>
      <x:c r="W14" s="1196"/>
      <x:c r="X14" s="1196"/>
    </x:row>
    <x:row r="15">
      <x:c r="A15" s="26" t="str">
        <x:v>Employment probability</x:v>
      </x:c>
      <x:c r="B15" s="1096" t="n">
        <x:f>'Human Capital &amp; Earnings'!$B$40</x:f>
        <x:v>0.85</x:v>
      </x:c>
      <x:c r="C15" s="26" t="str">
        <x:v>%</x:v>
      </x:c>
      <x:c r="D15" s="26" t="str">
        <x:v>Probability of paid employment.</x:v>
      </x:c>
      <x:c r="E15" s="26"/>
      <x:c r="F15" s="26"/>
      <x:c r="G15" s="26"/>
      <x:c r="H15" s="26"/>
      <x:c r="I15" s="26"/>
      <x:c r="U15" s="1196"/>
      <x:c r="V15" s="1196"/>
      <x:c r="W15" s="1196"/>
      <x:c r="X15" s="1196"/>
    </x:row>
    <x:row r="16">
      <x:c r="A16" s="26"/>
      <x:c r="B16" s="26"/>
      <x:c r="C16" s="26"/>
      <x:c r="D16" s="26"/>
      <x:c r="E16" s="26"/>
      <x:c r="F16" s="26"/>
      <x:c r="G16" s="26"/>
      <x:c r="H16" s="26"/>
      <x:c r="I16" s="26"/>
      <x:c r="U16" s="1196"/>
      <x:c r="V16" s="1196"/>
      <x:c r="W16" s="1196"/>
      <x:c r="X16" s="1196"/>
    </x:row>
    <x:row r="17">
      <x:c r="A17" s="1065" t="str">
        <x:v>Reconciled population</x:v>
      </x:c>
      <x:c r="B17" s="1065" t="str">
        <x:v>Value</x:v>
      </x:c>
      <x:c r="C17" s="1065" t="str">
        <x:v>Unit</x:v>
      </x:c>
      <x:c r="D17" s="1065" t="str">
        <x:v>Check</x:v>
      </x:c>
      <x:c r="E17" s="26"/>
      <x:c r="F17" s="26"/>
      <x:c r="G17" s="26"/>
      <x:c r="H17" s="26"/>
      <x:c r="I17" s="26"/>
      <x:c r="U17" s="1196"/>
      <x:c r="V17" s="1196"/>
      <x:c r="W17" s="1196"/>
      <x:c r="X17" s="1196"/>
    </x:row>
    <x:row r="18">
      <x:c r="A18" s="26" t="str">
        <x:v>Adjusted affected population before employment</x:v>
      </x:c>
      <x:c r="B18" s="1069" t="n">
        <x:f>'Human Capital &amp; Earnings'!$B$39</x:f>
        <x:v>10098.650906293498</x:v>
      </x:c>
      <x:c r="C18" s="26" t="str">
        <x:v>people</x:v>
      </x:c>
      <x:c r="D18" s="26" t="str">
        <x:v>After all non-employment adjustments.</x:v>
      </x:c>
      <x:c r="E18" s="26"/>
      <x:c r="F18" s="26"/>
      <x:c r="G18" s="26"/>
      <x:c r="H18" s="26"/>
      <x:c r="I18" s="26"/>
      <x:c r="U18" s="1196"/>
      <x:c r="V18" s="1196"/>
      <x:c r="W18" s="1196"/>
      <x:c r="X18" s="1196"/>
    </x:row>
    <x:row r="19">
      <x:c r="A19" s="26" t="str">
        <x:v>Effective affected employed population</x:v>
      </x:c>
      <x:c r="B19" s="1069" t="n">
        <x:f>'Human Capital &amp; Earnings'!$B$41</x:f>
        <x:v>8583.853270349473</x:v>
      </x:c>
      <x:c r="C19" s="26" t="str">
        <x:v>people</x:v>
      </x:c>
      <x:c r="D19" s="26" t="str">
        <x:v>Adjusted population × employment probability.</x:v>
      </x:c>
      <x:c r="E19" s="26"/>
      <x:c r="F19" s="26"/>
      <x:c r="G19" s="26"/>
      <x:c r="H19" s="26"/>
      <x:c r="I19" s="26"/>
      <x:c r="U19" s="1196"/>
      <x:c r="V19" s="1196"/>
      <x:c r="W19" s="1196"/>
      <x:c r="X19" s="1196"/>
    </x:row>
    <x:row r="20">
      <x:c r="A20" s="26"/>
      <x:c r="B20" s="26"/>
      <x:c r="C20" s="26"/>
      <x:c r="D20" s="26"/>
      <x:c r="E20" s="26"/>
      <x:c r="F20" s="26"/>
      <x:c r="G20" s="26"/>
      <x:c r="H20" s="26"/>
      <x:c r="I20" s="26"/>
      <x:c r="U20" s="1196"/>
      <x:c r="V20" s="1196"/>
      <x:c r="W20" s="1196"/>
      <x:c r="X20" s="1196"/>
    </x:row>
    <x:row r="21">
      <x:c r="A21" s="1065" t="str">
        <x:v>Uplift measure</x:v>
      </x:c>
      <x:c r="B21" s="1065" t="str">
        <x:v>0.25%</x:v>
      </x:c>
      <x:c r="C21" s="1065" t="str">
        <x:v>0.5%</x:v>
      </x:c>
      <x:c r="D21" s="1065" t="str">
        <x:v>1.0%</x:v>
      </x:c>
      <x:c r="E21" s="1065" t="str">
        <x:v>3.0%</x:v>
      </x:c>
      <x:c r="F21" s="1065" t="str">
        <x:v>5.0%</x:v>
      </x:c>
      <x:c r="G21" s="1065" t="str">
        <x:v>Preferred use</x:v>
      </x:c>
      <x:c r="H21" s="1065" t="str">
        <x:v>What it means</x:v>
      </x:c>
      <x:c r="I21" s="1065" t="str">
        <x:v>What it does not mean</x:v>
      </x:c>
      <x:c r="U21" s="1196"/>
      <x:c r="V21" s="1196"/>
      <x:c r="W21" s="1196"/>
      <x:c r="X21" s="1196"/>
    </x:row>
    <x:row r="22">
      <x:c r="A22" s="26" t="str">
        <x:v>Affected-population uplift</x:v>
      </x:c>
      <x:c r="B22" s="1068" t="n">
        <x:v>0.0025</x:v>
      </x:c>
      <x:c r="C22" s="1068" t="n">
        <x:v>0.005</x:v>
      </x:c>
      <x:c r="D22" s="1068" t="n">
        <x:v>0.01</x:v>
      </x:c>
      <x:c r="E22" s="1068" t="n">
        <x:v>0.03</x:v>
      </x:c>
      <x:c r="F22" s="1068" t="n">
        <x:v>0.05</x:v>
      </x:c>
      <x:c r="G22" s="26" t="str">
        <x:v>Model input</x:v>
      </x:c>
      <x:c r="H22" s="26" t="str">
        <x:v>Applied to the effective affected employed population.</x:v>
      </x:c>
      <x:c r="I22" s="26" t="str">
        <x:v>Not a uniform cohort-wide increase.</x:v>
      </x:c>
      <x:c r="U22" s="1196"/>
      <x:c r="V22" s="1196"/>
      <x:c r="W22" s="1196"/>
      <x:c r="X22" s="1196"/>
    </x:row>
    <x:row r="23">
      <x:c r="A23" s="26" t="str">
        <x:v>Value-weighted equivalent — broad non-overlap cohort</x:v>
      </x:c>
      <x:c r="B23" s="1068" t="n">
        <x:f>B22*$B$19/($B$7*$B$15)</x:f>
        <x:v>0.0004142475</x:v>
      </x:c>
      <x:c r="C23" s="1068" t="n">
        <x:f>C22*$B$19/($B$7*$B$15)</x:f>
        <x:v>0.000828495</x:v>
      </x:c>
      <x:c r="D23" s="1068" t="n">
        <x:f>D22*$B$19/($B$7*$B$15)</x:f>
        <x:v>0.00165699</x:v>
      </x:c>
      <x:c r="E23" s="1068" t="n">
        <x:f>E22*$B$19/($B$7*$B$15)</x:f>
        <x:v>0.004970969999999999</x:v>
      </x:c>
      <x:c r="F23" s="1068" t="n">
        <x:f>F22*$B$19/($B$7*$B$15)</x:f>
        <x:v>0.00828495</x:v>
      </x:c>
      <x:c r="G23" s="26" t="str">
        <x:v>Broad-cohort communication</x:v>
      </x:c>
      <x:c r="H23" s="26" t="str">
        <x:v>Same lifetime earnings value spread across the broad non-overlap cohort.</x:v>
      </x:c>
      <x:c r="I23" s="26" t="str">
        <x:v>Not an additional benefit.</x:v>
      </x:c>
      <x:c r="U23" s="1196"/>
      <x:c r="V23" s="1196"/>
      <x:c r="W23" s="1196"/>
      <x:c r="X23" s="1196"/>
    </x:row>
    <x:row r="24">
      <x:c r="A24" s="26" t="str">
        <x:v>Value-weighted equivalent — full eligible cohort</x:v>
      </x:c>
      <x:c r="B24" s="1068" t="n">
        <x:f>B22*$B$19/($B$5*$B$15)</x:f>
        <x:v>0.00040492693124999997</x:v>
      </x:c>
      <x:c r="C24" s="1068" t="n">
        <x:f>C22*$B$19/($B$5*$B$15)</x:f>
        <x:v>0.0008098538624999999</x:v>
      </x:c>
      <x:c r="D24" s="1068" t="n">
        <x:f>D22*$B$19/($B$5*$B$15)</x:f>
        <x:v>0.0016197077249999999</x:v>
      </x:c>
      <x:c r="E24" s="1068" t="n">
        <x:f>E22*$B$19/($B$5*$B$15)</x:f>
        <x:v>0.004859123174999999</x:v>
      </x:c>
      <x:c r="F24" s="1068" t="n">
        <x:f>F22*$B$19/($B$5*$B$15)</x:f>
        <x:v>0.008098538624999999</x:v>
      </x:c>
      <x:c r="G24" s="26" t="str">
        <x:v>Preferred public equivalent</x:v>
      </x:c>
      <x:c r="H24" s="26" t="str">
        <x:v>Same lifetime earnings value spread across the full annual eligible cohort.</x:v>
      </x:c>
      <x:c r="I24" s="26" t="str">
        <x:v>Not a measured effect for every student.</x:v>
      </x:c>
      <x:c r="U24" s="1196"/>
      <x:c r="V24" s="1196"/>
      <x:c r="W24" s="1196"/>
      <x:c r="X24" s="1196"/>
    </x:row>
    <x:row r="25">
      <x:c r="A25" s="26" t="str">
        <x:v>Simple headcount-weighted equivalent — full cohort</x:v>
      </x:c>
      <x:c r="B25" s="1068" t="n">
        <x:f>B22*$B$19/$B$5</x:f>
        <x:v>0.00034418789156249996</x:v>
      </x:c>
      <x:c r="C25" s="1068" t="n">
        <x:f>C22*$B$19/$B$5</x:f>
        <x:v>0.0006883757831249999</x:v>
      </x:c>
      <x:c r="D25" s="1068" t="n">
        <x:f>D22*$B$19/$B$5</x:f>
        <x:v>0.0013767515662499999</x:v>
      </x:c>
      <x:c r="E25" s="1068" t="n">
        <x:f>E22*$B$19/$B$5</x:f>
        <x:v>0.004130254698749999</x:v>
      </x:c>
      <x:c r="F25" s="1068" t="n">
        <x:f>F22*$B$19/$B$5</x:f>
        <x:v>0.006883757831249998</x:v>
      </x:c>
      <x:c r="G25" s="26" t="str">
        <x:v>Secondary approximation</x:v>
      </x:c>
      <x:c r="H25" s="26" t="str">
        <x:v>Affected uplift × effective affected employed share of full cohort.</x:v>
      </x:c>
      <x:c r="I25" s="26" t="str">
        <x:v>Does not adjust the denominator for employment probability.</x:v>
      </x:c>
      <x:c r="U25" s="1196"/>
      <x:c r="V25" s="1196"/>
      <x:c r="W25" s="1196"/>
      <x:c r="X25" s="1196"/>
    </x:row>
    <x:row r="26">
      <x:c r="A26" s="26" t="str">
        <x:v>Control</x:v>
      </x:c>
      <x:c r="B26" s="26"/>
      <x:c r="C26" s="26"/>
      <x:c r="D26" s="26"/>
      <x:c r="E26" s="26"/>
      <x:c r="F26" s="26"/>
      <x:c r="G26" s="26" t="str">
        <x:v>Public reporting</x:v>
      </x:c>
      <x:c r="H26" s="26" t="str">
        <x:v>Always state both the affected-population and cohort-equivalent percentage.</x:v>
      </x:c>
      <x:c r="I26" s="26" t="str">
        <x:v>Never substitute one for the other without a label.</x:v>
      </x:c>
      <x:c r="U26" s="1196"/>
      <x:c r="V26" s="1196"/>
      <x:c r="W26" s="1196"/>
      <x:c r="X26" s="1196"/>
    </x:row>
    <x:row r="27">
      <x:c r="A27" s="26" t="str">
        <x:v>Evidence status</x:v>
      </x:c>
      <x:c r="B27" s="26"/>
      <x:c r="C27" s="26"/>
      <x:c r="D27" s="26"/>
      <x:c r="E27" s="26"/>
      <x:c r="F27" s="26"/>
      <x:c r="G27" s="26" t="str">
        <x:v>Stage 0 and pilot</x:v>
      </x:c>
      <x:c r="H27" s="26" t="str">
        <x:v>All uplift percentages remain scenario tests.</x:v>
      </x:c>
      <x:c r="I27" s="26" t="str">
        <x:v>They are not observed programme outcomes.</x:v>
      </x:c>
      <x:c r="U27" s="1196"/>
      <x:c r="V27" s="1196"/>
      <x:c r="W27" s="1196"/>
      <x:c r="X27" s="1196"/>
    </x:row>
    <x:row r="28">
      <x:c r="U28" s="1196"/>
      <x:c r="V28" s="1196"/>
      <x:c r="W28" s="1196"/>
      <x:c r="X28" s="1196"/>
    </x:row>
    <x:row r="29">
      <x:c r="U29" s="1196"/>
      <x:c r="V29" s="1196"/>
      <x:c r="W29" s="1196"/>
      <x:c r="X29" s="1196"/>
    </x:row>
    <x:row r="30">
      <x:c r="A30" s="1239" t="str">
        <x:v>Scenario-specific cohort-equivalent break-even earnings uplifts</x:v>
      </x:c>
      <x:c r="B30" s="1239"/>
      <x:c r="C30" s="1239"/>
      <x:c r="D30" s="1239"/>
      <x:c r="E30" s="1239"/>
      <x:c r="F30" s="1239"/>
      <x:c r="G30" s="1239"/>
      <x:c r="H30" s="1239"/>
      <x:c r="I30" s="1239"/>
      <x:c r="J30" s="1239"/>
      <x:c r="U30" s="1196"/>
      <x:c r="V30" s="1196"/>
      <x:c r="W30" s="1196"/>
      <x:c r="X30" s="1196"/>
    </x:row>
    <x:row r="31">
      <x:c r="A31" s="1218" t="str">
        <x:v>Delivery scenario</x:v>
      </x:c>
      <x:c r="B31" s="1218" t="str">
        <x:v>Discount rate</x:v>
      </x:c>
      <x:c r="C31" s="1218" t="str">
        <x:v>Affected-population break-even uplift</x:v>
      </x:c>
      <x:c r="D31" s="1218" t="str">
        <x:v>Broad non-overlap cohort</x:v>
      </x:c>
      <x:c r="E31" s="1218" t="str">
        <x:v>Full scenario cohort</x:v>
      </x:c>
      <x:c r="F31" s="1218" t="str">
        <x:v>Effective affected employed population</x:v>
      </x:c>
      <x:c r="G31" s="1218" t="str">
        <x:v>Equivalent break-even uplift — broad cohort</x:v>
      </x:c>
      <x:c r="H31" s="1218" t="str">
        <x:v>Equivalent break-even uplift — full cohort</x:v>
      </x:c>
      <x:c r="I31" s="1218" t="str">
        <x:v>Evidence status</x:v>
      </x:c>
      <x:c r="J31" s="1218" t="str">
        <x:v>Interpretation</x:v>
      </x:c>
      <x:c r="U31" s="1196"/>
      <x:c r="V31" s="1196"/>
      <x:c r="W31" s="1196"/>
      <x:c r="X31" s="1196"/>
    </x:row>
    <x:row r="32">
      <x:c r="A32" s="278" t="str">
        <x:f>'Human Capital &amp; Earnings'!A107</x:f>
        <x:v>Universal core only</x:v>
      </x:c>
      <x:c r="B32" s="1244" t="n">
        <x:f>'Human Capital &amp; Earnings'!B107</x:f>
        <x:v>0.02</x:v>
      </x:c>
      <x:c r="C32" s="1245" t="n">
        <x:f>'Human Capital &amp; Earnings'!J107</x:f>
        <x:v>0.03540353234582649</x:v>
      </x:c>
      <x:c r="D32" s="1246" t="n">
        <x:f>'Delivery Scenarios'!C20-'Benefits &amp; BCR'!C18*'Delivery Scenarios'!I20</x:f>
        <x:v>61647.17825</x:v>
      </x:c>
      <x:c r="E32" s="1246" t="n">
        <x:f>'Delivery Scenarios'!C20</x:f>
        <x:v>62348.6</x:v>
      </x:c>
      <x:c r="F32" s="1246" t="n">
        <x:f>'Human Capital &amp; Earnings'!F107</x:f>
        <x:v>7814.379978467764</x:v>
      </x:c>
      <x:c r="G32" s="1247" t="n">
        <x:f>C32*F32/(D32*Assumptions!$E$137)</x:f>
        <x:v>0.005279696915553993</x:v>
      </x:c>
      <x:c r="H32" s="1247" t="n">
        <x:f>C32*F32/(E32*Assumptions!$E$137)</x:f>
        <x:v>0.005220300325254011</x:v>
      </x:c>
      <x:c r="I32" s="1248" t="str">
        <x:f>'Delivery Scenarios'!M20</x:f>
        <x:v>Scenario only</x:v>
      </x:c>
      <x:c r="J32" s="26" t="str">
        <x:v>Scenario-specific conversion. The affected-population uplift is not a uniform cohort-wide effect.</x:v>
      </x:c>
      <x:c r="U32" s="1196"/>
      <x:c r="V32" s="1196"/>
      <x:c r="W32" s="1196"/>
      <x:c r="X32" s="1196"/>
    </x:row>
    <x:row r="33">
      <x:c r="A33" s="278" t="str">
        <x:f>'Human Capital &amp; Earnings'!A108</x:f>
        <x:v>Universal core only</x:v>
      </x:c>
      <x:c r="B33" s="1244" t="n">
        <x:f>'Human Capital &amp; Earnings'!B108</x:f>
        <x:v>0.04</x:v>
      </x:c>
      <x:c r="C33" s="1245" t="n">
        <x:f>'Human Capital &amp; Earnings'!J108</x:f>
        <x:v>0.05183174490521204</x:v>
      </x:c>
      <x:c r="D33" s="1246" t="n">
        <x:f>'Delivery Scenarios'!C20-'Benefits &amp; BCR'!C18*'Delivery Scenarios'!I20</x:f>
        <x:v>61647.17825</x:v>
      </x:c>
      <x:c r="E33" s="1246" t="n">
        <x:f>'Delivery Scenarios'!C20</x:f>
        <x:v>62348.6</x:v>
      </x:c>
      <x:c r="F33" s="1246" t="n">
        <x:f>'Human Capital &amp; Earnings'!F108</x:f>
        <x:v>7814.379978467764</x:v>
      </x:c>
      <x:c r="G33" s="1247" t="n">
        <x:f>C33*F33/(D33*Assumptions!$E$137)</x:f>
        <x:v>0.007729621469143858</x:v>
      </x:c>
      <x:c r="H33" s="1247" t="n">
        <x:f>C33*F33/(E33*Assumptions!$E$137)</x:f>
        <x:v>0.00764266322761599</x:v>
      </x:c>
      <x:c r="I33" s="1248" t="str">
        <x:f>'Delivery Scenarios'!M20</x:f>
        <x:v>Scenario only</x:v>
      </x:c>
      <x:c r="J33" s="26" t="str">
        <x:v>Scenario-specific conversion. The affected-population uplift is not a uniform cohort-wide effect.</x:v>
      </x:c>
      <x:c r="U33" s="1196"/>
      <x:c r="V33" s="1196"/>
      <x:c r="W33" s="1196"/>
      <x:c r="X33" s="1196"/>
    </x:row>
    <x:row r="34">
      <x:c r="A34" s="278" t="str">
        <x:f>'Human Capital &amp; Earnings'!A109</x:f>
        <x:v>Universal core only</x:v>
      </x:c>
      <x:c r="B34" s="1244" t="n">
        <x:f>'Human Capital &amp; Earnings'!B109</x:f>
        <x:v>0.08</x:v>
      </x:c>
      <x:c r="C34" s="1245" t="n">
        <x:f>'Human Capital &amp; Earnings'!J109</x:f>
        <x:v>0.09413738492426499</x:v>
      </x:c>
      <x:c r="D34" s="1246" t="n">
        <x:f>'Delivery Scenarios'!C20-'Benefits &amp; BCR'!C18*'Delivery Scenarios'!I20</x:f>
        <x:v>61647.17825</x:v>
      </x:c>
      <x:c r="E34" s="1246" t="n">
        <x:f>'Delivery Scenarios'!C20</x:f>
        <x:v>62348.6</x:v>
      </x:c>
      <x:c r="F34" s="1246" t="n">
        <x:f>'Human Capital &amp; Earnings'!F109</x:f>
        <x:v>7814.379978467764</x:v>
      </x:c>
      <x:c r="G34" s="1247" t="n">
        <x:f>C34*F34/(D34*Assumptions!$E$137)</x:f>
        <x:v>0.014038623490109207</x:v>
      </x:c>
      <x:c r="H34" s="1247" t="n">
        <x:f>C34*F34/(E34*Assumptions!$E$137)</x:f>
        <x:v>0.01388068897584548</x:v>
      </x:c>
      <x:c r="I34" s="1248" t="str">
        <x:f>'Delivery Scenarios'!M20</x:f>
        <x:v>Scenario only</x:v>
      </x:c>
      <x:c r="J34" s="26" t="str">
        <x:v>Scenario-specific conversion. The affected-population uplift is not a uniform cohort-wide effect.</x:v>
      </x:c>
      <x:c r="U34" s="1196"/>
      <x:c r="V34" s="1196"/>
      <x:c r="W34" s="1196"/>
      <x:c r="X34" s="1196"/>
    </x:row>
    <x:row r="35">
      <x:c r="A35" s="278" t="str">
        <x:f>'Human Capital &amp; Earnings'!A110</x:f>
        <x:v>Universal core plus targeted accelerator</x:v>
      </x:c>
      <x:c r="B35" s="1244" t="n">
        <x:f>'Human Capital &amp; Earnings'!B110</x:f>
        <x:v>0.02</x:v>
      </x:c>
      <x:c r="C35" s="1245" t="n">
        <x:f>'Human Capital &amp; Earnings'!J110</x:f>
        <x:v>0.022715858868379204</x:v>
      </x:c>
      <x:c r="D35" s="1246" t="n">
        <x:f>'Delivery Scenarios'!C21-'Benefits &amp; BCR'!C18*'Delivery Scenarios'!I21</x:f>
        <x:v>60945.756499999996</x:v>
      </x:c>
      <x:c r="E35" s="1246" t="n">
        <x:f>'Delivery Scenarios'!C21</x:f>
        <x:v>62348.6</x:v>
      </x:c>
      <x:c r="F35" s="1246" t="n">
        <x:f>'Human Capital &amp; Earnings'!F110</x:f>
        <x:v>9442.238597384423</x:v>
      </x:c>
      <x:c r="G35" s="1247" t="n">
        <x:f>C35*F35/(D35*Assumptions!$E$137)</x:f>
        <x:v>0.004140394608494723</x:v>
      </x:c>
      <x:c r="H35" s="1247" t="n">
        <x:f>C35*F35/(E35*Assumptions!$E$137)</x:f>
        <x:v>0.004047235729803591</x:v>
      </x:c>
      <x:c r="I35" s="1248" t="str">
        <x:f>'Delivery Scenarios'!M21</x:f>
        <x:v>Scenario only — retained high-risk effect unproven</x:v>
      </x:c>
      <x:c r="J35" s="26" t="str">
        <x:v>Scenario-specific conversion. The affected-population uplift is not a uniform cohort-wide effect.</x:v>
      </x:c>
      <x:c r="U35" s="1196"/>
      <x:c r="V35" s="1196"/>
      <x:c r="W35" s="1196"/>
      <x:c r="X35" s="1196"/>
    </x:row>
    <x:row r="36">
      <x:c r="A36" s="278" t="str">
        <x:f>'Human Capital &amp; Earnings'!A111</x:f>
        <x:v>Universal core plus targeted accelerator</x:v>
      </x:c>
      <x:c r="B36" s="1244" t="n">
        <x:f>'Human Capital &amp; Earnings'!B111</x:f>
        <x:v>0.04</x:v>
      </x:c>
      <x:c r="C36" s="1245" t="n">
        <x:f>'Human Capital &amp; Earnings'!J111</x:f>
        <x:v>0.033256642039771675</x:v>
      </x:c>
      <x:c r="D36" s="1246" t="n">
        <x:f>'Delivery Scenarios'!C21-'Benefits &amp; BCR'!C18*'Delivery Scenarios'!I21</x:f>
        <x:v>60945.756499999996</x:v>
      </x:c>
      <x:c r="E36" s="1246" t="n">
        <x:f>'Delivery Scenarios'!C21</x:f>
        <x:v>62348.6</x:v>
      </x:c>
      <x:c r="F36" s="1246" t="n">
        <x:f>'Human Capital &amp; Earnings'!F111</x:f>
        <x:v>9442.238597384423</x:v>
      </x:c>
      <x:c r="G36" s="1247" t="n">
        <x:f>C36*F36/(D36*Assumptions!$E$137)</x:f>
        <x:v>0.00606165156228294</x:v>
      </x:c>
      <x:c r="H36" s="1247" t="n">
        <x:f>C36*F36/(E36*Assumptions!$E$137)</x:f>
        <x:v>0.005925264402131574</x:v>
      </x:c>
      <x:c r="I36" s="1248" t="str">
        <x:f>'Delivery Scenarios'!M21</x:f>
        <x:v>Scenario only — retained high-risk effect unproven</x:v>
      </x:c>
      <x:c r="J36" s="26" t="str">
        <x:v>Scenario-specific conversion. The affected-population uplift is not a uniform cohort-wide effect.</x:v>
      </x:c>
      <x:c r="U36" s="1196"/>
      <x:c r="V36" s="1196"/>
      <x:c r="W36" s="1196"/>
      <x:c r="X36" s="1196"/>
    </x:row>
    <x:row r="37">
      <x:c r="A37" s="278" t="str">
        <x:f>'Human Capital &amp; Earnings'!A112</x:f>
        <x:v>Universal core plus targeted accelerator</x:v>
      </x:c>
      <x:c r="B37" s="1244" t="n">
        <x:f>'Human Capital &amp; Earnings'!B112</x:f>
        <x:v>0.08</x:v>
      </x:c>
      <x:c r="C37" s="1245" t="n">
        <x:f>'Human Capital &amp; Earnings'!J112</x:f>
        <x:v>0.06040107888923621</x:v>
      </x:c>
      <x:c r="D37" s="1246" t="n">
        <x:f>'Delivery Scenarios'!C21-'Benefits &amp; BCR'!C18*'Delivery Scenarios'!I21</x:f>
        <x:v>60945.756499999996</x:v>
      </x:c>
      <x:c r="E37" s="1246" t="n">
        <x:f>'Delivery Scenarios'!C21</x:f>
        <x:v>62348.6</x:v>
      </x:c>
      <x:c r="F37" s="1246" t="n">
        <x:f>'Human Capital &amp; Earnings'!F112</x:f>
        <x:v>9442.238597384423</x:v>
      </x:c>
      <x:c r="G37" s="1247" t="n">
        <x:f>C37*F37/(D37*Assumptions!$E$137)</x:f>
        <x:v>0.011009238207954306</x:v>
      </x:c>
      <x:c r="H37" s="1247" t="n">
        <x:f>C37*F37/(E37*Assumptions!$E$137)</x:f>
        <x:v>0.010761530348275334</x:v>
      </x:c>
      <x:c r="I37" s="1248" t="str">
        <x:f>'Delivery Scenarios'!M21</x:f>
        <x:v>Scenario only — retained high-risk effect unproven</x:v>
      </x:c>
      <x:c r="J37" s="26" t="str">
        <x:v>Scenario-specific conversion. The affected-population uplift is not a uniform cohort-wide effect.</x:v>
      </x:c>
      <x:c r="U37" s="1196"/>
      <x:c r="V37" s="1196"/>
      <x:c r="W37" s="1196"/>
      <x:c r="X37" s="1196"/>
    </x:row>
    <x:row r="38">
      <x:c r="A38" s="278" t="str">
        <x:f>'Human Capital &amp; Earnings'!A113</x:f>
        <x:v>Targeted pilot</x:v>
      </x:c>
      <x:c r="B38" s="1244" t="n">
        <x:f>'Human Capital &amp; Earnings'!B113</x:f>
        <x:v>0.02</x:v>
      </x:c>
      <x:c r="C38" s="1245" t="n">
        <x:f>'Human Capital &amp; Earnings'!J113</x:f>
        <x:v>0.03530379149356595</x:v>
      </x:c>
      <x:c r="D38" s="1246" t="n">
        <x:f>'Delivery Scenarios'!C22-'Benefits &amp; BCR'!B18</x:f>
        <x:v>4042.5</x:v>
      </x:c>
      <x:c r="E38" s="1246" t="n">
        <x:f>'Delivery Scenarios'!C22</x:f>
        <x:v>4200</x:v>
      </x:c>
      <x:c r="F38" s="1246" t="n">
        <x:f>'Human Capital &amp; Earnings'!F113</x:f>
        <x:v>683.23497165</x:v>
      </x:c>
      <x:c r="G38" s="1247" t="n">
        <x:f>C38*F38/(D38*Assumptions!$E$137)</x:f>
        <x:v>0.007019763536030862</x:v>
      </x:c>
      <x:c r="H38" s="1247" t="n">
        <x:f>C38*F38/(E38*Assumptions!$E$137)</x:f>
        <x:v>0.006756522403429705</x:v>
      </x:c>
      <x:c r="I38" s="1248" t="str">
        <x:f>'Delivery Scenarios'!M22</x:f>
        <x:v>Existing pilot cost</x:v>
      </x:c>
      <x:c r="J38" s="26" t="str">
        <x:v>Scenario-specific conversion. The affected-population uplift is not a uniform cohort-wide effect.</x:v>
      </x:c>
      <x:c r="U38" s="1196"/>
      <x:c r="V38" s="1196"/>
      <x:c r="W38" s="1196"/>
      <x:c r="X38" s="1196"/>
    </x:row>
    <x:row r="39">
      <x:c r="A39" s="278" t="str">
        <x:f>'Human Capital &amp; Earnings'!A114</x:f>
        <x:v>Targeted pilot</x:v>
      </x:c>
      <x:c r="B39" s="1244" t="n">
        <x:f>'Human Capital &amp; Earnings'!B114</x:f>
        <x:v>0.04</x:v>
      </x:c>
      <x:c r="C39" s="1245" t="n">
        <x:f>'Human Capital &amp; Earnings'!J114</x:f>
        <x:v>0.05168572155475939</x:v>
      </x:c>
      <x:c r="D39" s="1246" t="n">
        <x:f>'Delivery Scenarios'!C22-'Benefits &amp; BCR'!B18</x:f>
        <x:v>4042.5</x:v>
      </x:c>
      <x:c r="E39" s="1246" t="n">
        <x:f>'Delivery Scenarios'!C22</x:f>
        <x:v>4200</x:v>
      </x:c>
      <x:c r="F39" s="1246" t="n">
        <x:f>'Human Capital &amp; Earnings'!F114</x:f>
        <x:v>683.23497165</x:v>
      </x:c>
      <x:c r="G39" s="1247" t="n">
        <x:f>C39*F39/(D39*Assumptions!$E$137)</x:f>
        <x:v>0.01027712685108249</x:v>
      </x:c>
      <x:c r="H39" s="1247" t="n">
        <x:f>C39*F39/(E39*Assumptions!$E$137)</x:f>
        <x:v>0.009891734594166897</x:v>
      </x:c>
      <x:c r="I39" s="1248" t="str">
        <x:f>'Delivery Scenarios'!M22</x:f>
        <x:v>Existing pilot cost</x:v>
      </x:c>
      <x:c r="J39" s="26" t="str">
        <x:v>Scenario-specific conversion. The affected-population uplift is not a uniform cohort-wide effect.</x:v>
      </x:c>
      <x:c r="U39" s="1196"/>
      <x:c r="V39" s="1196"/>
      <x:c r="W39" s="1196"/>
      <x:c r="X39" s="1196"/>
    </x:row>
    <x:row r="40">
      <x:c r="A40" s="278" t="str">
        <x:f>'Human Capital &amp; Earnings'!A115</x:f>
        <x:v>Targeted pilot</x:v>
      </x:c>
      <x:c r="B40" s="1244" t="n">
        <x:f>'Human Capital &amp; Earnings'!B115</x:f>
        <x:v>0.08</x:v>
      </x:c>
      <x:c r="C40" s="1245" t="n">
        <x:f>'Human Capital &amp; Earnings'!J115</x:f>
        <x:v>0.09387217570982254</x:v>
      </x:c>
      <x:c r="D40" s="1246" t="n">
        <x:f>'Delivery Scenarios'!C22-'Benefits &amp; BCR'!B18</x:f>
        <x:v>4042.5</x:v>
      </x:c>
      <x:c r="E40" s="1246" t="n">
        <x:f>'Delivery Scenarios'!C22</x:f>
        <x:v>4200</x:v>
      </x:c>
      <x:c r="F40" s="1246" t="n">
        <x:f>'Human Capital &amp; Earnings'!F115</x:f>
        <x:v>683.23497165</x:v>
      </x:c>
      <x:c r="G40" s="1247" t="n">
        <x:f>C40*F40/(D40*Assumptions!$E$137)</x:f>
        <x:v>0.018665430771530264</x:v>
      </x:c>
      <x:c r="H40" s="1247" t="n">
        <x:f>C40*F40/(E40*Assumptions!$E$137)</x:f>
        <x:v>0.01796547711759788</x:v>
      </x:c>
      <x:c r="I40" s="1248" t="str">
        <x:f>'Delivery Scenarios'!M22</x:f>
        <x:v>Existing pilot cost</x:v>
      </x:c>
      <x:c r="J40" s="26" t="str">
        <x:v>Scenario-specific conversion. The affected-population uplift is not a uniform cohort-wide effect.</x:v>
      </x:c>
      <x:c r="U40" s="1196"/>
      <x:c r="V40" s="1196"/>
      <x:c r="W40" s="1196"/>
      <x:c r="X40" s="1196"/>
    </x:row>
    <x:row r="41">
      <x:c r="A41" s="278" t="str">
        <x:f>'Human Capital &amp; Earnings'!A116</x:f>
        <x:v>Mature national design</x:v>
      </x:c>
      <x:c r="B41" s="1244" t="n">
        <x:f>'Human Capital &amp; Earnings'!B116</x:f>
        <x:v>0.02</x:v>
      </x:c>
      <x:c r="C41" s="1245" t="n">
        <x:f>'Human Capital &amp; Earnings'!J116</x:f>
        <x:v>0.058127484370145754</x:v>
      </x:c>
      <x:c r="D41" s="1246" t="n">
        <x:f>'Delivery Scenarios'!C23-'Benefits &amp; BCR'!C18*'Delivery Scenarios'!I23</x:f>
        <x:v>60945.756499999996</x:v>
      </x:c>
      <x:c r="E41" s="1246" t="n">
        <x:f>'Delivery Scenarios'!C23</x:f>
        <x:v>62348.6</x:v>
      </x:c>
      <x:c r="F41" s="1246" t="n">
        <x:f>'Human Capital &amp; Earnings'!F116</x:f>
        <x:v>8583.853270349473</x:v>
      </x:c>
      <x:c r="G41" s="1247" t="n">
        <x:f>C41*F41/(D41*Assumptions!$E$137)</x:f>
        <x:v>0.00963166603264878</x:v>
      </x:c>
      <x:c r="H41" s="1247" t="n">
        <x:f>C41*F41/(E41*Assumptions!$E$137)</x:f>
        <x:v>0.009414953546914183</x:v>
      </x:c>
      <x:c r="I41" s="1248" t="str">
        <x:f>'Delivery Scenarios'!M23</x:f>
        <x:v>Planning model</x:v>
      </x:c>
      <x:c r="J41" s="26" t="str">
        <x:v>Scenario-specific conversion. The affected-population uplift is not a uniform cohort-wide effect.</x:v>
      </x:c>
      <x:c r="U41" s="1196"/>
      <x:c r="V41" s="1196"/>
      <x:c r="W41" s="1196"/>
      <x:c r="X41" s="1196"/>
    </x:row>
    <x:row r="42">
      <x:c r="A42" s="278" t="str">
        <x:f>'Human Capital &amp; Earnings'!A117</x:f>
        <x:v>Mature national design</x:v>
      </x:c>
      <x:c r="B42" s="1244" t="n">
        <x:f>'Human Capital &amp; Earnings'!B117</x:f>
        <x:v>0.04</x:v>
      </x:c>
      <x:c r="C42" s="1245" t="n">
        <x:f>'Human Capital &amp; Earnings'!J117</x:f>
        <x:v>0.0851002355478312</x:v>
      </x:c>
      <x:c r="D42" s="1246" t="n">
        <x:f>'Delivery Scenarios'!C23-'Benefits &amp; BCR'!C18*'Delivery Scenarios'!I23</x:f>
        <x:v>60945.756499999996</x:v>
      </x:c>
      <x:c r="E42" s="1246" t="n">
        <x:f>'Delivery Scenarios'!C23</x:f>
        <x:v>62348.6</x:v>
      </x:c>
      <x:c r="F42" s="1246" t="n">
        <x:f>'Human Capital &amp; Earnings'!F117</x:f>
        <x:v>8583.853270349473</x:v>
      </x:c>
      <x:c r="G42" s="1247" t="n">
        <x:f>C42*F42/(D42*Assumptions!$E$137)</x:f>
        <x:v>0.014101023930040079</x:v>
      </x:c>
      <x:c r="H42" s="1247" t="n">
        <x:f>C42*F42/(E42*Assumptions!$E$137)</x:f>
        <x:v>0.013783750891614176</x:v>
      </x:c>
      <x:c r="I42" s="1248" t="str">
        <x:f>'Delivery Scenarios'!M23</x:f>
        <x:v>Planning model</x:v>
      </x:c>
      <x:c r="J42" s="26" t="str">
        <x:v>Scenario-specific conversion. The affected-population uplift is not a uniform cohort-wide effect.</x:v>
      </x:c>
      <x:c r="U42" s="1196"/>
      <x:c r="V42" s="1196"/>
      <x:c r="W42" s="1196"/>
      <x:c r="X42" s="1196"/>
    </x:row>
    <x:row r="43">
      <x:c r="A43" s="278" t="str">
        <x:f>'Human Capital &amp; Earnings'!A118</x:f>
        <x:v>Mature national design</x:v>
      </x:c>
      <x:c r="B43" s="1244" t="n">
        <x:f>'Human Capital &amp; Earnings'!B118</x:f>
        <x:v>0.08</x:v>
      </x:c>
      <x:c r="C43" s="1245" t="n">
        <x:f>'Human Capital &amp; Earnings'!J118</x:f>
        <x:v>0.15455998337625385</x:v>
      </x:c>
      <x:c r="D43" s="1246" t="n">
        <x:f>'Delivery Scenarios'!C23-'Benefits &amp; BCR'!C18*'Delivery Scenarios'!I23</x:f>
        <x:v>60945.756499999996</x:v>
      </x:c>
      <x:c r="E43" s="1246" t="n">
        <x:f>'Delivery Scenarios'!C23</x:f>
        <x:v>62348.6</x:v>
      </x:c>
      <x:c r="F43" s="1246" t="n">
        <x:f>'Human Capital &amp; Earnings'!F118</x:f>
        <x:v>8583.853270349473</x:v>
      </x:c>
      <x:c r="G43" s="1247" t="n">
        <x:f>C43*F43/(D43*Assumptions!$E$137)</x:f>
        <x:v>0.02561043468546188</x:v>
      </x:c>
      <x:c r="H43" s="1247" t="n">
        <x:f>C43*F43/(E43*Assumptions!$E$137)</x:f>
        <x:v>0.025034199905038988</x:v>
      </x:c>
      <x:c r="I43" s="1248" t="str">
        <x:f>'Delivery Scenarios'!M23</x:f>
        <x:v>Planning model</x:v>
      </x:c>
      <x:c r="J43" s="26" t="str">
        <x:v>Scenario-specific conversion. The affected-population uplift is not a uniform cohort-wide effect.</x:v>
      </x:c>
      <x:c r="U43" s="1196"/>
      <x:c r="V43" s="1196"/>
      <x:c r="W43" s="1196"/>
      <x:c r="X43" s="1196"/>
    </x:row>
    <x:row r="44">
      <x:c r="A44"/>
      <x:c r="B44"/>
      <x:c r="C44"/>
      <x:c r="D44"/>
      <x:c r="E44"/>
      <x:c r="F44"/>
      <x:c r="G44"/>
      <x:c r="H44"/>
      <x:c r="I44"/>
      <x:c r="J44"/>
      <x:c r="U44" s="1196"/>
      <x:c r="V44" s="1196"/>
      <x:c r="W44" s="1196"/>
      <x:c r="X44" s="1196"/>
    </x:row>
    <x:row r="45">
      <x:c r="A45" s="1239" t="str">
        <x:v>How the broader earnings sensitivity changes the mature national full-expenditure BCR — 2% social case</x:v>
      </x:c>
      <x:c r="B45" s="1239"/>
      <x:c r="C45" s="1239"/>
      <x:c r="D45" s="1239"/>
      <x:c r="E45" s="1239"/>
      <x:c r="F45" s="1239"/>
      <x:c r="G45" s="1239"/>
      <x:c r="H45" s="1239"/>
      <x:c r="I45" s="1239"/>
      <x:c r="J45"/>
      <x:c r="U45" s="1196"/>
      <x:c r="V45" s="1196"/>
      <x:c r="W45" s="1196"/>
      <x:c r="X45" s="1196"/>
    </x:row>
    <x:row r="46">
      <x:c r="A46" s="1218" t="str">
        <x:v>Affected-population earnings uplift</x:v>
      </x:c>
      <x:c r="B46" s="1218" t="str">
        <x:v>Base lifetime benefits</x:v>
      </x:c>
      <x:c r="C46" s="1218" t="str">
        <x:v>Lifetime earnings PV added</x:v>
      </x:c>
      <x:c r="D46" s="1218" t="str">
        <x:v>Total included lifetime benefits</x:v>
      </x:c>
      <x:c r="E46" s="1218" t="str">
        <x:v>Full-expenditure BCR — 2%</x:v>
      </x:c>
      <x:c r="F46" s="1218" t="str">
        <x:v>Conventional net social ROI</x:v>
      </x:c>
      <x:c r="G46" s="1218" t="str">
        <x:v>Crown fiscal coverage — 4%</x:v>
      </x:c>
      <x:c r="H46" s="1218" t="str">
        <x:v>Evidence status</x:v>
      </x:c>
      <x:c r="I46" s="1218" t="str">
        <x:v>Status</x:v>
      </x:c>
      <x:c r="J46"/>
      <x:c r="U46" s="1196"/>
      <x:c r="V46" s="1196"/>
      <x:c r="W46" s="1196"/>
      <x:c r="X46" s="1196"/>
    </x:row>
    <x:row r="47">
      <x:c r="A47" s="1245" t="n">
        <x:f>'Human Capital &amp; Earnings'!A96</x:f>
        <x:v>0</x:v>
      </x:c>
      <x:c r="B47" s="167" t="n">
        <x:f>'Benefits &amp; BCR'!C24+'Cohort Bridge'!D30</x:f>
        <x:v>386628068.3707794</x:v>
      </x:c>
      <x:c r="C47" s="167" t="n">
        <x:f>'Human Capital &amp; Earnings'!C96</x:f>
        <x:v>0</x:v>
      </x:c>
      <x:c r="D47" s="167" t="n">
        <x:f>B47+C47</x:f>
        <x:v>386628068.3707794</x:v>
      </x:c>
      <x:c r="E47" s="593" t="n">
        <x:f>'Human Capital &amp; Earnings'!J96</x:f>
        <x:v>0.25333759922376436</x:v>
      </x:c>
      <x:c r="F47" s="276" t="n">
        <x:f>E47-1</x:f>
        <x:v>-0.7466624007762357</x:v>
      </x:c>
      <x:c r="G47" s="276" t="n">
        <x:f>'Human Capital &amp; Earnings'!M96</x:f>
        <x:v>0.11112842821032895</x:v>
      </x:c>
      <x:c r="H47" s="1222" t="str">
        <x:v>Sensitivity only — not a forecast</x:v>
      </x:c>
      <x:c r="I47" s="1250" t="str">
        <x:f>IF(E47&gt;1.05,"ABOVE THRESHOLD",IF(E47&gt;=0.95,"APPROX. BREAK-EVEN","BELOW THRESHOLD"))</x:f>
        <x:v>BELOW THRESHOLD</x:v>
      </x:c>
      <x:c r="J47"/>
      <x:c r="U47" s="1196"/>
      <x:c r="V47" s="1196"/>
      <x:c r="W47" s="1196"/>
      <x:c r="X47" s="1196"/>
    </x:row>
    <x:row r="48">
      <x:c r="A48" s="1245" t="n">
        <x:f>'Human Capital &amp; Earnings'!A97</x:f>
        <x:v>0.0025</x:v>
      </x:c>
      <x:c r="B48" s="167" t="n">
        <x:f>'Benefits &amp; BCR'!C24+'Cohort Bridge'!D30</x:f>
        <x:v>386628068.3707794</x:v>
      </x:c>
      <x:c r="C48" s="167" t="n">
        <x:f>'Human Capital &amp; Earnings'!C97</x:f>
        <x:v>49009073.4641273</x:v>
      </x:c>
      <x:c r="D48" s="167" t="n">
        <x:f>B48+C48</x:f>
        <x:v>435637141.8349067</x:v>
      </x:c>
      <x:c r="E48" s="593" t="n">
        <x:f>'Human Capital &amp; Earnings'!J97</x:f>
        <x:v>0.28545073851006214</x:v>
      </x:c>
      <x:c r="F48" s="276" t="n">
        <x:f>E48-1</x:f>
        <x:v>-0.7145492614899378</x:v>
      </x:c>
      <x:c r="G48" s="276" t="n">
        <x:f>'Human Capital &amp; Earnings'!M97</x:f>
        <x:v>0.11812885663218689</x:v>
      </x:c>
      <x:c r="H48" s="1222" t="str">
        <x:v>Sensitivity only — not a forecast</x:v>
      </x:c>
      <x:c r="I48" s="1250" t="str">
        <x:f>IF(E48&gt;1.05,"ABOVE THRESHOLD",IF(E48&gt;=0.95,"APPROX. BREAK-EVEN","BELOW THRESHOLD"))</x:f>
        <x:v>BELOW THRESHOLD</x:v>
      </x:c>
      <x:c r="J48"/>
      <x:c r="U48" s="1196"/>
      <x:c r="V48" s="1196"/>
      <x:c r="W48" s="1196"/>
      <x:c r="X48" s="1196"/>
    </x:row>
    <x:row r="49">
      <x:c r="A49" s="1245" t="n">
        <x:f>'Human Capital &amp; Earnings'!A98</x:f>
        <x:v>0.005</x:v>
      </x:c>
      <x:c r="B49" s="167" t="n">
        <x:f>'Benefits &amp; BCR'!C24+'Cohort Bridge'!D30</x:f>
        <x:v>386628068.3707794</x:v>
      </x:c>
      <x:c r="C49" s="167" t="n">
        <x:f>'Human Capital &amp; Earnings'!C98</x:f>
        <x:v>98018146.9282546</x:v>
      </x:c>
      <x:c r="D49" s="167" t="n">
        <x:f>B49+C49</x:f>
        <x:v>484646215.299034</x:v>
      </x:c>
      <x:c r="E49" s="593" t="n">
        <x:f>'Human Capital &amp; Earnings'!J98</x:f>
        <x:v>0.31756387779636</x:v>
      </x:c>
      <x:c r="F49" s="276" t="n">
        <x:f>E49-1</x:f>
        <x:v>-0.68243612220364</x:v>
      </x:c>
      <x:c r="G49" s="276" t="n">
        <x:f>'Human Capital &amp; Earnings'!M98</x:f>
        <x:v>0.12512928505404483</x:v>
      </x:c>
      <x:c r="H49" s="1222" t="str">
        <x:v>Sensitivity only — not a forecast</x:v>
      </x:c>
      <x:c r="I49" s="1250" t="str">
        <x:f>IF(E49&gt;1.05,"ABOVE THRESHOLD",IF(E49&gt;=0.95,"APPROX. BREAK-EVEN","BELOW THRESHOLD"))</x:f>
        <x:v>BELOW THRESHOLD</x:v>
      </x:c>
      <x:c r="J49"/>
      <x:c r="U49" s="1196"/>
      <x:c r="V49" s="1196"/>
      <x:c r="W49" s="1196"/>
      <x:c r="X49" s="1196"/>
    </x:row>
    <x:row r="50">
      <x:c r="A50" s="1245" t="n">
        <x:f>'Human Capital &amp; Earnings'!A99</x:f>
        <x:v>0.01</x:v>
      </x:c>
      <x:c r="B50" s="167" t="n">
        <x:f>'Benefits &amp; BCR'!C24+'Cohort Bridge'!D30</x:f>
        <x:v>386628068.3707794</x:v>
      </x:c>
      <x:c r="C50" s="167" t="n">
        <x:f>'Human Capital &amp; Earnings'!C99</x:f>
        <x:v>196036293.8565092</x:v>
      </x:c>
      <x:c r="D50" s="167" t="n">
        <x:f>B50+C50</x:f>
        <x:v>582664362.2272886</x:v>
      </x:c>
      <x:c r="E50" s="593" t="n">
        <x:f>'Human Capital &amp; Earnings'!J99</x:f>
        <x:v>0.3817901563689555</x:v>
      </x:c>
      <x:c r="F50" s="276" t="n">
        <x:f>E50-1</x:f>
        <x:v>-0.6182098436310445</x:v>
      </x:c>
      <x:c r="G50" s="276" t="n">
        <x:f>'Human Capital &amp; Earnings'!M99</x:f>
        <x:v>0.13913014189776074</x:v>
      </x:c>
      <x:c r="H50" s="1222" t="str">
        <x:v>Sensitivity only — not a forecast</x:v>
      </x:c>
      <x:c r="I50" s="1250" t="str">
        <x:f>IF(E50&gt;1.05,"ABOVE THRESHOLD",IF(E50&gt;=0.95,"APPROX. BREAK-EVEN","BELOW THRESHOLD"))</x:f>
        <x:v>BELOW THRESHOLD</x:v>
      </x:c>
      <x:c r="J50"/>
      <x:c r="U50" s="1196"/>
      <x:c r="V50" s="1196"/>
      <x:c r="W50" s="1196"/>
      <x:c r="X50" s="1196"/>
    </x:row>
    <x:row r="51">
      <x:c r="A51" s="1245" t="n">
        <x:f>'Human Capital &amp; Earnings'!A100</x:f>
        <x:v>0.02</x:v>
      </x:c>
      <x:c r="B51" s="167" t="n">
        <x:f>'Benefits &amp; BCR'!C24+'Cohort Bridge'!D30</x:f>
        <x:v>386628068.3707794</x:v>
      </x:c>
      <x:c r="C51" s="167" t="n">
        <x:f>'Human Capital &amp; Earnings'!C100</x:f>
        <x:v>392072587.7130184</x:v>
      </x:c>
      <x:c r="D51" s="167" t="n">
        <x:f>B51+C51</x:f>
        <x:v>778700656.0837978</x:v>
      </x:c>
      <x:c r="E51" s="593" t="n">
        <x:f>'Human Capital &amp; Earnings'!J100</x:f>
        <x:v>0.5102427135141467</x:v>
      </x:c>
      <x:c r="F51" s="276" t="n">
        <x:f>E51-1</x:f>
        <x:v>-0.48975728648585326</x:v>
      </x:c>
      <x:c r="G51" s="276" t="n">
        <x:f>'Human Capital &amp; Earnings'!M100</x:f>
        <x:v>0.16713185558519256</x:v>
      </x:c>
      <x:c r="H51" s="1222" t="str">
        <x:v>Sensitivity only — not a forecast</x:v>
      </x:c>
      <x:c r="I51" s="1250" t="str">
        <x:f>IF(E51&gt;1.05,"ABOVE THRESHOLD",IF(E51&gt;=0.95,"APPROX. BREAK-EVEN","BELOW THRESHOLD"))</x:f>
        <x:v>BELOW THRESHOLD</x:v>
      </x:c>
      <x:c r="J51"/>
      <x:c r="U51" s="1196"/>
      <x:c r="V51" s="1196"/>
      <x:c r="W51" s="1196"/>
      <x:c r="X51" s="1196"/>
    </x:row>
    <x:row r="52">
      <x:c r="A52" s="1245" t="n">
        <x:f>'Human Capital &amp; Earnings'!A101</x:f>
        <x:v>0.03</x:v>
      </x:c>
      <x:c r="B52" s="167" t="n">
        <x:f>'Benefits &amp; BCR'!C24+'Cohort Bridge'!D30</x:f>
        <x:v>386628068.3707794</x:v>
      </x:c>
      <x:c r="C52" s="167" t="n">
        <x:f>'Human Capital &amp; Earnings'!C101</x:f>
        <x:v>588108881.5695276</x:v>
      </x:c>
      <x:c r="D52" s="167" t="n">
        <x:f>B52+C52</x:f>
        <x:v>974736949.940307</x:v>
      </x:c>
      <x:c r="E52" s="593" t="n">
        <x:f>'Human Capital &amp; Earnings'!J101</x:f>
        <x:v>0.638695270659338</x:v>
      </x:c>
      <x:c r="F52" s="276" t="n">
        <x:f>E52-1</x:f>
        <x:v>-0.36130472934066205</x:v>
      </x:c>
      <x:c r="G52" s="276" t="n">
        <x:f>'Human Capital &amp; Earnings'!M101</x:f>
        <x:v>0.19513356927262435</x:v>
      </x:c>
      <x:c r="H52" s="1222" t="str">
        <x:v>Sensitivity only — not a forecast</x:v>
      </x:c>
      <x:c r="I52" s="1250" t="str">
        <x:f>IF(E52&gt;1.05,"ABOVE THRESHOLD",IF(E52&gt;=0.95,"APPROX. BREAK-EVEN","BELOW THRESHOLD"))</x:f>
        <x:v>BELOW THRESHOLD</x:v>
      </x:c>
      <x:c r="J52"/>
      <x:c r="U52" s="1196"/>
      <x:c r="V52" s="1196"/>
      <x:c r="W52" s="1196"/>
      <x:c r="X52" s="1196"/>
    </x:row>
    <x:row r="53">
      <x:c r="A53" s="1245" t="n">
        <x:f>'Human Capital &amp; Earnings'!A102</x:f>
        <x:v>0.05</x:v>
      </x:c>
      <x:c r="B53" s="167" t="n">
        <x:f>'Benefits &amp; BCR'!C24+'Cohort Bridge'!D30</x:f>
        <x:v>386628068.3707794</x:v>
      </x:c>
      <x:c r="C53" s="167" t="n">
        <x:f>'Human Capital &amp; Earnings'!C102</x:f>
        <x:v>980181469.282546</x:v>
      </x:c>
      <x:c r="D53" s="167" t="n">
        <x:f>B53+C53</x:f>
        <x:v>1366809537.6533256</x:v>
      </x:c>
      <x:c r="E53" s="593" t="n">
        <x:f>'Human Capital &amp; Earnings'!J102</x:f>
        <x:v>0.8956003849497204</x:v>
      </x:c>
      <x:c r="F53" s="276" t="n">
        <x:f>E53-1</x:f>
        <x:v>-0.10439961505027961</x:v>
      </x:c>
      <x:c r="G53" s="276" t="n">
        <x:f>'Human Capital &amp; Earnings'!M102</x:f>
        <x:v>0.2511369966474879</x:v>
      </x:c>
      <x:c r="H53" s="1222" t="str">
        <x:v>Sensitivity only — not a forecast</x:v>
      </x:c>
      <x:c r="I53" s="1250" t="str">
        <x:f>IF(E53&gt;1.05,"ABOVE THRESHOLD",IF(E53&gt;=0.95,"APPROX. BREAK-EVEN","BELOW THRESHOLD"))</x:f>
        <x:v>BELOW THRESHOLD</x:v>
      </x:c>
      <x:c r="J53"/>
      <x:c r="U53" s="1196"/>
      <x:c r="V53" s="1196"/>
      <x:c r="W53" s="1196"/>
      <x:c r="X53" s="1196"/>
    </x:row>
    <x:row r="54">
      <x:c r="A54"/>
      <x:c r="B54"/>
      <x:c r="C54"/>
      <x:c r="D54"/>
      <x:c r="E54"/>
      <x:c r="F54"/>
      <x:c r="G54"/>
      <x:c r="H54"/>
      <x:c r="I54"/>
      <x:c r="J54"/>
      <x:c r="U54" s="1196"/>
      <x:c r="V54" s="1196"/>
      <x:c r="W54" s="1196"/>
      <x:c r="X54" s="1196"/>
    </x:row>
    <x:row r="55">
      <x:c r="A55"/>
      <x:c r="B55"/>
      <x:c r="C55"/>
      <x:c r="D55"/>
      <x:c r="E55"/>
      <x:c r="F55"/>
      <x:c r="G55"/>
      <x:c r="H55"/>
      <x:c r="I55"/>
      <x:c r="J55"/>
      <x:c r="U55" s="1196"/>
      <x:c r="V55" s="1196"/>
      <x:c r="W55" s="1196"/>
      <x:c r="X55" s="1196"/>
    </x:row>
    <x:row r="56">
      <x:c r="A56"/>
      <x:c r="B56"/>
      <x:c r="C56"/>
      <x:c r="D56"/>
      <x:c r="E56"/>
      <x:c r="F56"/>
      <x:c r="G56"/>
      <x:c r="H56"/>
      <x:c r="I56"/>
      <x:c r="J56"/>
      <x:c r="U56" s="1196"/>
      <x:c r="V56" s="1196"/>
      <x:c r="W56" s="1196"/>
      <x:c r="X56" s="1196"/>
    </x:row>
    <x:row r="57">
      <x:c r="A57"/>
      <x:c r="B57"/>
      <x:c r="C57"/>
      <x:c r="D57"/>
      <x:c r="E57"/>
      <x:c r="F57"/>
      <x:c r="G57"/>
      <x:c r="H57"/>
      <x:c r="I57"/>
      <x:c r="J57"/>
      <x:c r="U57" s="1196"/>
      <x:c r="V57" s="1196"/>
      <x:c r="W57" s="1196"/>
      <x:c r="X57" s="1196"/>
    </x:row>
    <x:row r="58">
      <x:c r="A58"/>
      <x:c r="B58"/>
      <x:c r="C58"/>
      <x:c r="D58"/>
      <x:c r="E58"/>
      <x:c r="F58"/>
      <x:c r="G58"/>
      <x:c r="H58"/>
      <x:c r="I58"/>
      <x:c r="J58"/>
      <x:c r="U58" s="1196"/>
      <x:c r="V58" s="1196"/>
      <x:c r="W58" s="1196"/>
      <x:c r="X58" s="1196"/>
    </x:row>
    <x:row r="59">
      <x:c r="A59"/>
      <x:c r="B59"/>
      <x:c r="C59"/>
      <x:c r="D59"/>
      <x:c r="E59"/>
      <x:c r="F59"/>
      <x:c r="G59"/>
      <x:c r="H59"/>
      <x:c r="I59"/>
      <x:c r="J59"/>
      <x:c r="U59" s="1196"/>
      <x:c r="V59" s="1196"/>
      <x:c r="W59" s="1196"/>
      <x:c r="X59" s="1196"/>
    </x:row>
    <x:row r="60">
      <x:c r="A60"/>
      <x:c r="B60"/>
      <x:c r="C60"/>
      <x:c r="D60"/>
      <x:c r="E60"/>
      <x:c r="F60"/>
      <x:c r="G60"/>
      <x:c r="H60"/>
      <x:c r="I60"/>
      <x:c r="J60"/>
      <x:c r="U60" s="1196"/>
      <x:c r="V60" s="1196"/>
      <x:c r="W60" s="1196"/>
      <x:c r="X60" s="1196"/>
    </x:row>
    <x:row r="61">
      <x:c r="U61" s="1196"/>
      <x:c r="V61" s="1196"/>
      <x:c r="W61" s="1196"/>
      <x:c r="X61" s="1196"/>
    </x:row>
    <x:row r="62">
      <x:c r="U62" s="1196"/>
      <x:c r="V62" s="1196"/>
      <x:c r="W62" s="1196"/>
      <x:c r="X62" s="1196"/>
    </x:row>
    <x:row r="63">
      <x:c r="U63" s="1196"/>
      <x:c r="V63" s="1196"/>
      <x:c r="W63" s="1196"/>
      <x:c r="X63" s="1196"/>
    </x:row>
    <x:row r="64">
      <x:c r="U64" s="1196"/>
      <x:c r="V64" s="1196"/>
      <x:c r="W64" s="1196"/>
      <x:c r="X64" s="1196"/>
    </x:row>
    <x:row r="65">
      <x:c r="U65" s="1196"/>
      <x:c r="V65" s="1196"/>
      <x:c r="W65" s="1196"/>
      <x:c r="X65" s="1196"/>
    </x:row>
    <x:row r="66">
      <x:c r="U66" s="1196"/>
      <x:c r="V66" s="1196"/>
      <x:c r="W66" s="1196"/>
      <x:c r="X66" s="1196"/>
    </x:row>
    <x:row r="67">
      <x:c r="U67" s="1196"/>
      <x:c r="V67" s="1196"/>
      <x:c r="W67" s="1196"/>
      <x:c r="X67" s="1196"/>
    </x:row>
    <x:row r="68">
      <x:c r="U68" s="1196"/>
      <x:c r="V68" s="1196"/>
      <x:c r="W68" s="1196"/>
      <x:c r="X68" s="1196"/>
    </x:row>
    <x:row r="69">
      <x:c r="U69" s="1196"/>
      <x:c r="V69" s="1196"/>
      <x:c r="W69" s="1196"/>
      <x:c r="X69" s="1196"/>
    </x:row>
    <x:row r="70">
      <x:c r="U70" s="1196"/>
      <x:c r="V70" s="1196"/>
      <x:c r="W70" s="1196"/>
      <x:c r="X70" s="1196"/>
    </x:row>
    <x:row r="71">
      <x:c r="U71" s="1196"/>
      <x:c r="V71" s="1196"/>
      <x:c r="W71" s="1196"/>
      <x:c r="X71" s="1196"/>
    </x:row>
    <x:row r="72">
      <x:c r="U72" s="1196"/>
      <x:c r="V72" s="1196"/>
      <x:c r="W72" s="1196"/>
      <x:c r="X72" s="1196"/>
    </x:row>
    <x:row r="73">
      <x:c r="U73" s="1196"/>
      <x:c r="V73" s="1196"/>
      <x:c r="W73" s="1196"/>
      <x:c r="X73" s="1196"/>
    </x:row>
    <x:row r="74">
      <x:c r="U74" s="1196"/>
      <x:c r="V74" s="1196"/>
      <x:c r="W74" s="1196"/>
      <x:c r="X74" s="1196"/>
    </x:row>
    <x:row r="75">
      <x:c r="U75" s="1196"/>
      <x:c r="V75" s="1196"/>
      <x:c r="W75" s="1196"/>
      <x:c r="X75" s="1196"/>
    </x:row>
    <x:row r="76">
      <x:c r="U76" s="1196"/>
      <x:c r="V76" s="1196"/>
      <x:c r="W76" s="1196"/>
      <x:c r="X76" s="1196"/>
    </x:row>
    <x:row r="77">
      <x:c r="U77" s="1196"/>
      <x:c r="V77" s="1196"/>
      <x:c r="W77" s="1196"/>
      <x:c r="X77" s="1196"/>
    </x:row>
    <x:row r="78">
      <x:c r="U78" s="1196"/>
      <x:c r="V78" s="1196"/>
      <x:c r="W78" s="1196"/>
      <x:c r="X78" s="1196"/>
    </x:row>
    <x:row r="79">
      <x:c r="U79" s="1196"/>
      <x:c r="V79" s="1196"/>
      <x:c r="W79" s="1196"/>
      <x:c r="X79" s="1196"/>
    </x:row>
    <x:row r="80">
      <x:c r="U80" s="1196"/>
      <x:c r="V80" s="1196"/>
      <x:c r="W80" s="1196"/>
      <x:c r="X80" s="1196"/>
    </x:row>
    <x:row r="81">
      <x:c r="U81" s="1196"/>
      <x:c r="V81" s="1196"/>
      <x:c r="W81" s="1196"/>
      <x:c r="X81" s="1196"/>
    </x:row>
    <x:row r="82">
      <x:c r="U82" s="1196"/>
      <x:c r="V82" s="1196"/>
      <x:c r="W82" s="1196"/>
      <x:c r="X82" s="1196"/>
    </x:row>
    <x:row r="83">
      <x:c r="U83" s="1196"/>
      <x:c r="V83" s="1196"/>
      <x:c r="W83" s="1196"/>
      <x:c r="X83" s="1196"/>
    </x:row>
    <x:row r="84">
      <x:c r="U84" s="1196"/>
      <x:c r="V84" s="1196"/>
      <x:c r="W84" s="1196"/>
      <x:c r="X84" s="1196"/>
    </x:row>
    <x:row r="85">
      <x:c r="U85" s="1196"/>
      <x:c r="V85" s="1196"/>
      <x:c r="W85" s="1196"/>
      <x:c r="X85" s="1196"/>
    </x:row>
    <x:row r="86">
      <x:c r="U86" s="1196"/>
      <x:c r="V86" s="1196"/>
      <x:c r="W86" s="1196"/>
      <x:c r="X86" s="1196"/>
    </x:row>
    <x:row r="87">
      <x:c r="U87" s="1196"/>
      <x:c r="V87" s="1196"/>
      <x:c r="W87" s="1196"/>
      <x:c r="X87" s="1196"/>
    </x:row>
    <x:row r="88">
      <x:c r="U88" s="1196"/>
      <x:c r="V88" s="1196"/>
      <x:c r="W88" s="1196"/>
      <x:c r="X88" s="1196"/>
    </x:row>
    <x:row r="89">
      <x:c r="U89" s="1196"/>
      <x:c r="V89" s="1196"/>
      <x:c r="W89" s="1196"/>
      <x:c r="X89" s="1196"/>
    </x:row>
    <x:row r="90">
      <x:c r="U90" s="1196"/>
      <x:c r="V90" s="1196"/>
      <x:c r="W90" s="1196"/>
      <x:c r="X90" s="1196"/>
    </x:row>
    <x:row r="91">
      <x:c r="U91" s="1196"/>
      <x:c r="V91" s="1196"/>
      <x:c r="W91" s="1196"/>
      <x:c r="X91" s="1196"/>
    </x:row>
    <x:row r="92">
      <x:c r="U92" s="1196"/>
      <x:c r="V92" s="1196"/>
      <x:c r="W92" s="1196"/>
      <x:c r="X92" s="1196"/>
    </x:row>
    <x:row r="93">
      <x:c r="U93" s="1196"/>
      <x:c r="V93" s="1196"/>
      <x:c r="W93" s="1196"/>
      <x:c r="X93" s="1196"/>
    </x:row>
    <x:row r="94">
      <x:c r="U94" s="1196"/>
      <x:c r="V94" s="1196"/>
      <x:c r="W94" s="1196"/>
      <x:c r="X94" s="1196"/>
    </x:row>
    <x:row r="95">
      <x:c r="U95" s="1196"/>
      <x:c r="V95" s="1196"/>
      <x:c r="W95" s="1196"/>
      <x:c r="X95" s="1196"/>
    </x:row>
    <x:row r="96">
      <x:c r="U96" s="1196"/>
      <x:c r="V96" s="1196"/>
      <x:c r="W96" s="1196"/>
      <x:c r="X96" s="1196"/>
    </x:row>
    <x:row r="97">
      <x:c r="U97" s="1196"/>
      <x:c r="V97" s="1196"/>
      <x:c r="W97" s="1196"/>
      <x:c r="X97" s="1196"/>
    </x:row>
    <x:row r="98">
      <x:c r="U98" s="1196"/>
      <x:c r="V98" s="1196"/>
      <x:c r="W98" s="1196"/>
      <x:c r="X98" s="1196"/>
    </x:row>
    <x:row r="99">
      <x:c r="U99" s="1196"/>
      <x:c r="V99" s="1196"/>
      <x:c r="W99" s="1196"/>
      <x:c r="X99" s="1196"/>
    </x:row>
    <x:row r="100">
      <x:c r="U100" s="1196"/>
      <x:c r="V100" s="1196"/>
      <x:c r="W100" s="1196"/>
      <x:c r="X100" s="1196"/>
    </x:row>
    <x:row r="101">
      <x:c r="U101" s="1196"/>
      <x:c r="V101" s="1196"/>
      <x:c r="W101" s="1196"/>
      <x:c r="X101" s="1196"/>
    </x:row>
    <x:row r="102">
      <x:c r="U102" s="1196"/>
      <x:c r="V102" s="1196"/>
      <x:c r="W102" s="1196"/>
      <x:c r="X102" s="1196"/>
    </x:row>
    <x:row r="103">
      <x:c r="U103" s="1196"/>
      <x:c r="V103" s="1196"/>
      <x:c r="W103" s="1196"/>
      <x:c r="X103" s="1196"/>
    </x:row>
    <x:row r="104">
      <x:c r="U104" s="1196"/>
      <x:c r="V104" s="1196"/>
      <x:c r="W104" s="1196"/>
      <x:c r="X104" s="1196"/>
    </x:row>
    <x:row r="105">
      <x:c r="U105" s="1196"/>
      <x:c r="V105" s="1196"/>
      <x:c r="W105" s="1196"/>
      <x:c r="X105" s="1196"/>
    </x:row>
    <x:row r="106">
      <x:c r="U106" s="1196"/>
      <x:c r="V106" s="1196"/>
      <x:c r="W106" s="1196"/>
      <x:c r="X106" s="1196"/>
    </x:row>
    <x:row r="107">
      <x:c r="U107" s="1196"/>
      <x:c r="V107" s="1196"/>
      <x:c r="W107" s="1196"/>
      <x:c r="X107" s="1196"/>
    </x:row>
    <x:row r="108">
      <x:c r="U108" s="1196"/>
      <x:c r="V108" s="1196"/>
      <x:c r="W108" s="1196"/>
      <x:c r="X108" s="1196"/>
    </x:row>
    <x:row r="109">
      <x:c r="U109" s="1196"/>
      <x:c r="V109" s="1196"/>
      <x:c r="W109" s="1196"/>
      <x:c r="X109" s="1196"/>
    </x:row>
    <x:row r="110">
      <x:c r="U110" s="1196"/>
      <x:c r="V110" s="1196"/>
      <x:c r="W110" s="1196"/>
      <x:c r="X110" s="1196"/>
    </x:row>
    <x:row r="111">
      <x:c r="U111" s="1196"/>
      <x:c r="V111" s="1196"/>
      <x:c r="W111" s="1196"/>
      <x:c r="X111" s="1196"/>
    </x:row>
    <x:row r="112">
      <x:c r="U112" s="1196"/>
      <x:c r="V112" s="1196"/>
      <x:c r="W112" s="1196"/>
      <x:c r="X112" s="1196"/>
    </x:row>
    <x:row r="113">
      <x:c r="U113" s="1196"/>
      <x:c r="V113" s="1196"/>
      <x:c r="W113" s="1196"/>
      <x:c r="X113" s="1196"/>
    </x:row>
    <x:row r="114">
      <x:c r="U114" s="1196"/>
      <x:c r="V114" s="1196"/>
      <x:c r="W114" s="1196"/>
      <x:c r="X114" s="1196"/>
    </x:row>
    <x:row r="115">
      <x:c r="U115" s="1196"/>
      <x:c r="V115" s="1196"/>
      <x:c r="W115" s="1196"/>
      <x:c r="X115" s="1196"/>
    </x:row>
    <x:row r="116">
      <x:c r="U116" s="1196"/>
      <x:c r="V116" s="1196"/>
      <x:c r="W116" s="1196"/>
      <x:c r="X116" s="1196"/>
    </x:row>
    <x:row r="117">
      <x:c r="U117" s="1196"/>
      <x:c r="V117" s="1196"/>
      <x:c r="W117" s="1196"/>
      <x:c r="X117" s="1196"/>
    </x:row>
    <x:row r="118">
      <x:c r="U118" s="1196"/>
      <x:c r="V118" s="1196"/>
      <x:c r="W118" s="1196"/>
      <x:c r="X118" s="1196"/>
    </x:row>
    <x:row r="119">
      <x:c r="U119" s="1196"/>
      <x:c r="V119" s="1196"/>
      <x:c r="W119" s="1196"/>
      <x:c r="X119" s="1196"/>
    </x:row>
    <x:row r="120">
      <x:c r="U120" s="1196"/>
      <x:c r="V120" s="1196"/>
      <x:c r="W120" s="1196"/>
      <x:c r="X120" s="1196"/>
    </x:row>
    <x:row r="121">
      <x:c r="U121" s="1196"/>
      <x:c r="V121" s="1196"/>
      <x:c r="W121" s="1196"/>
      <x:c r="X121" s="1196"/>
    </x:row>
    <x:row r="122">
      <x:c r="U122" s="1196"/>
      <x:c r="V122" s="1196"/>
      <x:c r="W122" s="1196"/>
      <x:c r="X122" s="1196"/>
    </x:row>
    <x:row r="123">
      <x:c r="U123" s="1196"/>
      <x:c r="V123" s="1196"/>
      <x:c r="W123" s="1196"/>
      <x:c r="X123" s="1196"/>
    </x:row>
    <x:row r="124">
      <x:c r="U124" s="1196"/>
      <x:c r="V124" s="1196"/>
      <x:c r="W124" s="1196"/>
      <x:c r="X124" s="1196"/>
    </x:row>
    <x:row r="125">
      <x:c r="U125" s="1196"/>
      <x:c r="V125" s="1196"/>
      <x:c r="W125" s="1196"/>
      <x:c r="X125" s="1196"/>
    </x:row>
    <x:row r="126">
      <x:c r="U126" s="1196"/>
      <x:c r="V126" s="1196"/>
      <x:c r="W126" s="1196"/>
      <x:c r="X126" s="1196"/>
    </x:row>
    <x:row r="127">
      <x:c r="U127" s="1196"/>
      <x:c r="V127" s="1196"/>
      <x:c r="W127" s="1196"/>
      <x:c r="X127" s="1196"/>
    </x:row>
    <x:row r="128">
      <x:c r="U128" s="1196"/>
      <x:c r="V128" s="1196"/>
      <x:c r="W128" s="1196"/>
      <x:c r="X128" s="1196"/>
    </x:row>
    <x:row r="129">
      <x:c r="U129" s="1196"/>
      <x:c r="V129" s="1196"/>
      <x:c r="W129" s="1196"/>
      <x:c r="X129" s="1196"/>
    </x:row>
    <x:row r="130">
      <x:c r="U130" s="1196"/>
      <x:c r="V130" s="1196"/>
      <x:c r="W130" s="1196"/>
      <x:c r="X130" s="1196"/>
    </x:row>
    <x:row r="131">
      <x:c r="U131" s="1196"/>
      <x:c r="V131" s="1196"/>
      <x:c r="W131" s="1196"/>
      <x:c r="X131" s="1196"/>
    </x:row>
    <x:row r="132">
      <x:c r="U132" s="1196"/>
      <x:c r="V132" s="1196"/>
      <x:c r="W132" s="1196"/>
      <x:c r="X132" s="1196"/>
    </x:row>
    <x:row r="133">
      <x:c r="U133" s="1196"/>
      <x:c r="V133" s="1196"/>
      <x:c r="W133" s="1196"/>
      <x:c r="X133" s="1196"/>
    </x:row>
    <x:row r="134">
      <x:c r="U134" s="1196"/>
      <x:c r="V134" s="1196"/>
      <x:c r="W134" s="1196"/>
      <x:c r="X134" s="1196"/>
    </x:row>
    <x:row r="135">
      <x:c r="U135" s="1196"/>
      <x:c r="V135" s="1196"/>
      <x:c r="W135" s="1196"/>
      <x:c r="X135" s="1196"/>
    </x:row>
    <x:row r="136">
      <x:c r="U136" s="1196"/>
      <x:c r="V136" s="1196"/>
      <x:c r="W136" s="1196"/>
      <x:c r="X136" s="1196"/>
    </x:row>
    <x:row r="137">
      <x:c r="U137" s="1196"/>
      <x:c r="V137" s="1196"/>
      <x:c r="W137" s="1196"/>
      <x:c r="X137" s="1196"/>
    </x:row>
    <x:row r="138">
      <x:c r="U138" s="1196"/>
      <x:c r="V138" s="1196"/>
      <x:c r="W138" s="1196"/>
      <x:c r="X138" s="1196"/>
    </x:row>
    <x:row r="139">
      <x:c r="U139" s="1196"/>
      <x:c r="V139" s="1196"/>
      <x:c r="W139" s="1196"/>
      <x:c r="X139" s="1196"/>
    </x:row>
    <x:row r="140">
      <x:c r="U140" s="1196"/>
      <x:c r="V140" s="1196"/>
      <x:c r="W140" s="1196"/>
      <x:c r="X140" s="1196"/>
    </x:row>
    <x:row r="141">
      <x:c r="U141" s="1196"/>
      <x:c r="V141" s="1196"/>
      <x:c r="W141" s="1196"/>
      <x:c r="X141" s="1196"/>
    </x:row>
    <x:row r="142">
      <x:c r="U142" s="1196"/>
      <x:c r="V142" s="1196"/>
      <x:c r="W142" s="1196"/>
      <x:c r="X142" s="1196"/>
    </x:row>
    <x:row r="143">
      <x:c r="U143" s="1196"/>
      <x:c r="V143" s="1196"/>
      <x:c r="W143" s="1196"/>
      <x:c r="X143" s="1196"/>
    </x:row>
    <x:row r="144">
      <x:c r="U144" s="1196"/>
      <x:c r="V144" s="1196"/>
      <x:c r="W144" s="1196"/>
      <x:c r="X144" s="1196"/>
    </x:row>
    <x:row r="145">
      <x:c r="U145" s="1196"/>
      <x:c r="V145" s="1196"/>
      <x:c r="W145" s="1196"/>
      <x:c r="X145" s="1196"/>
    </x:row>
    <x:row r="146">
      <x:c r="U146" s="1196"/>
      <x:c r="V146" s="1196"/>
      <x:c r="W146" s="1196"/>
      <x:c r="X146" s="1196"/>
    </x:row>
    <x:row r="147">
      <x:c r="U147" s="1196"/>
      <x:c r="V147" s="1196"/>
      <x:c r="W147" s="1196"/>
      <x:c r="X147" s="1196"/>
    </x:row>
    <x:row r="148">
      <x:c r="U148" s="1196"/>
      <x:c r="V148" s="1196"/>
      <x:c r="W148" s="1196"/>
      <x:c r="X148" s="1196"/>
    </x:row>
    <x:row r="149">
      <x:c r="U149" s="1196"/>
      <x:c r="V149" s="1196"/>
      <x:c r="W149" s="1196"/>
      <x:c r="X149" s="1196"/>
    </x:row>
    <x:row r="150">
      <x:c r="U150" s="1196"/>
      <x:c r="V150" s="1196"/>
      <x:c r="W150" s="1196"/>
      <x:c r="X150" s="1196"/>
    </x:row>
    <x:row r="151">
      <x:c r="U151" s="1196"/>
      <x:c r="V151" s="1196"/>
      <x:c r="W151" s="1196"/>
      <x:c r="X151" s="1196"/>
    </x:row>
    <x:row r="152">
      <x:c r="U152" s="1196"/>
      <x:c r="V152" s="1196"/>
      <x:c r="W152" s="1196"/>
      <x:c r="X152" s="1196"/>
    </x:row>
    <x:row r="153">
      <x:c r="U153" s="1196"/>
      <x:c r="V153" s="1196"/>
      <x:c r="W153" s="1196"/>
      <x:c r="X153" s="1196"/>
    </x:row>
    <x:row r="154">
      <x:c r="U154" s="1196"/>
      <x:c r="V154" s="1196"/>
      <x:c r="W154" s="1196"/>
      <x:c r="X154" s="1196"/>
    </x:row>
    <x:row r="155">
      <x:c r="U155" s="1196"/>
      <x:c r="V155" s="1196"/>
      <x:c r="W155" s="1196"/>
      <x:c r="X155" s="1196"/>
    </x:row>
    <x:row r="156">
      <x:c r="U156" s="1196"/>
      <x:c r="V156" s="1196"/>
      <x:c r="W156" s="1196"/>
      <x:c r="X156" s="1196"/>
    </x:row>
    <x:row r="157">
      <x:c r="U157" s="1196"/>
      <x:c r="V157" s="1196"/>
      <x:c r="W157" s="1196"/>
      <x:c r="X157" s="1196"/>
    </x:row>
    <x:row r="158">
      <x:c r="U158" s="1196"/>
      <x:c r="V158" s="1196"/>
      <x:c r="W158" s="1196"/>
      <x:c r="X158" s="1196"/>
    </x:row>
    <x:row r="159">
      <x:c r="U159" s="1196"/>
      <x:c r="V159" s="1196"/>
      <x:c r="W159" s="1196"/>
      <x:c r="X159" s="1196"/>
    </x:row>
    <x:row r="160">
      <x:c r="U160" s="1196"/>
      <x:c r="V160" s="1196"/>
      <x:c r="W160" s="1196"/>
      <x:c r="X160" s="1196"/>
    </x:row>
    <x:row r="161">
      <x:c r="U161" s="1196"/>
      <x:c r="V161" s="1196"/>
      <x:c r="W161" s="1196"/>
      <x:c r="X161" s="1196"/>
    </x:row>
    <x:row r="162">
      <x:c r="U162" s="1196"/>
      <x:c r="V162" s="1196"/>
      <x:c r="W162" s="1196"/>
      <x:c r="X162" s="1196"/>
    </x:row>
    <x:row r="163">
      <x:c r="U163" s="1196"/>
      <x:c r="V163" s="1196"/>
      <x:c r="W163" s="1196"/>
      <x:c r="X163" s="1196"/>
    </x:row>
    <x:row r="164">
      <x:c r="U164" s="1196"/>
      <x:c r="V164" s="1196"/>
      <x:c r="W164" s="1196"/>
      <x:c r="X164" s="1196"/>
    </x:row>
    <x:row r="165">
      <x:c r="U165" s="1196"/>
      <x:c r="V165" s="1196"/>
      <x:c r="W165" s="1196"/>
      <x:c r="X165" s="1196"/>
    </x:row>
    <x:row r="166">
      <x:c r="U166" s="1196"/>
      <x:c r="V166" s="1196"/>
      <x:c r="W166" s="1196"/>
      <x:c r="X166" s="1196"/>
    </x:row>
    <x:row r="167">
      <x:c r="U167" s="1196"/>
      <x:c r="V167" s="1196"/>
      <x:c r="W167" s="1196"/>
      <x:c r="X167" s="1196"/>
    </x:row>
    <x:row r="168">
      <x:c r="U168" s="1196"/>
      <x:c r="V168" s="1196"/>
      <x:c r="W168" s="1196"/>
      <x:c r="X168" s="1196"/>
    </x:row>
    <x:row r="169">
      <x:c r="U169" s="1196"/>
      <x:c r="V169" s="1196"/>
      <x:c r="W169" s="1196"/>
      <x:c r="X169" s="1196"/>
    </x:row>
    <x:row r="170">
      <x:c r="U170" s="1196"/>
      <x:c r="V170" s="1196"/>
      <x:c r="W170" s="1196"/>
      <x:c r="X170" s="1196"/>
    </x:row>
    <x:row r="171">
      <x:c r="U171" s="1196"/>
      <x:c r="V171" s="1196"/>
      <x:c r="W171" s="1196"/>
      <x:c r="X171" s="1196"/>
    </x:row>
    <x:row r="172">
      <x:c r="U172" s="1196"/>
      <x:c r="V172" s="1196"/>
      <x:c r="W172" s="1196"/>
      <x:c r="X172" s="1196"/>
    </x:row>
    <x:row r="173">
      <x:c r="U173" s="1196"/>
      <x:c r="V173" s="1196"/>
      <x:c r="W173" s="1196"/>
      <x:c r="X173" s="1196"/>
    </x:row>
    <x:row r="174">
      <x:c r="U174" s="1196"/>
      <x:c r="V174" s="1196"/>
      <x:c r="W174" s="1196"/>
      <x:c r="X174" s="1196"/>
    </x:row>
    <x:row r="175">
      <x:c r="U175" s="1196"/>
      <x:c r="V175" s="1196"/>
      <x:c r="W175" s="1196"/>
      <x:c r="X175" s="1196"/>
    </x:row>
    <x:row r="176">
      <x:c r="U176" s="1196"/>
      <x:c r="V176" s="1196"/>
      <x:c r="W176" s="1196"/>
      <x:c r="X176" s="1196"/>
    </x:row>
    <x:row r="177">
      <x:c r="U177" s="1196"/>
      <x:c r="V177" s="1196"/>
      <x:c r="W177" s="1196"/>
      <x:c r="X177" s="1196"/>
    </x:row>
    <x:row r="178">
      <x:c r="U178" s="1196"/>
      <x:c r="V178" s="1196"/>
      <x:c r="W178" s="1196"/>
      <x:c r="X178" s="1196"/>
    </x:row>
    <x:row r="179">
      <x:c r="U179" s="1196"/>
      <x:c r="V179" s="1196"/>
      <x:c r="W179" s="1196"/>
      <x:c r="X179" s="1196"/>
    </x:row>
    <x:row r="180">
      <x:c r="U180" s="1196"/>
      <x:c r="V180" s="1196"/>
      <x:c r="W180" s="1196"/>
      <x:c r="X180" s="1196"/>
    </x:row>
    <x:row r="181">
      <x:c r="U181" s="1196"/>
      <x:c r="V181" s="1196"/>
      <x:c r="W181" s="1196"/>
      <x:c r="X181" s="1196"/>
    </x:row>
    <x:row r="182">
      <x:c r="U182" s="1196"/>
      <x:c r="V182" s="1196"/>
      <x:c r="W182" s="1196"/>
      <x:c r="X182" s="1196"/>
    </x:row>
    <x:row r="183">
      <x:c r="U183" s="1196"/>
      <x:c r="V183" s="1196"/>
      <x:c r="W183" s="1196"/>
      <x:c r="X183" s="1196"/>
    </x:row>
    <x:row r="184">
      <x:c r="U184" s="1196"/>
      <x:c r="V184" s="1196"/>
      <x:c r="W184" s="1196"/>
      <x:c r="X184" s="1196"/>
    </x:row>
    <x:row r="185">
      <x:c r="U185" s="1196"/>
      <x:c r="V185" s="1196"/>
      <x:c r="W185" s="1196"/>
      <x:c r="X185" s="1196"/>
    </x:row>
    <x:row r="186">
      <x:c r="U186" s="1196"/>
      <x:c r="V186" s="1196"/>
      <x:c r="W186" s="1196"/>
      <x:c r="X186" s="1196"/>
    </x:row>
    <x:row r="187">
      <x:c r="U187" s="1196"/>
      <x:c r="V187" s="1196"/>
      <x:c r="W187" s="1196"/>
      <x:c r="X187" s="1196"/>
    </x:row>
    <x:row r="188">
      <x:c r="U188" s="1196"/>
      <x:c r="V188" s="1196"/>
      <x:c r="W188" s="1196"/>
      <x:c r="X188" s="1196"/>
    </x:row>
    <x:row r="189">
      <x:c r="U189" s="1196"/>
      <x:c r="V189" s="1196"/>
      <x:c r="W189" s="1196"/>
      <x:c r="X189" s="1196"/>
    </x:row>
    <x:row r="190">
      <x:c r="U190" s="1196"/>
      <x:c r="V190" s="1196"/>
      <x:c r="W190" s="1196"/>
      <x:c r="X190" s="1196"/>
    </x:row>
    <x:row r="191">
      <x:c r="U191" s="1196"/>
      <x:c r="V191" s="1196"/>
      <x:c r="W191" s="1196"/>
      <x:c r="X191" s="1196"/>
    </x:row>
    <x:row r="192">
      <x:c r="U192" s="1196"/>
      <x:c r="V192" s="1196"/>
      <x:c r="W192" s="1196"/>
      <x:c r="X192" s="1196"/>
    </x:row>
    <x:row r="193">
      <x:c r="U193" s="1196"/>
      <x:c r="V193" s="1196"/>
      <x:c r="W193" s="1196"/>
      <x:c r="X193" s="1196"/>
    </x:row>
    <x:row r="194">
      <x:c r="U194" s="1196"/>
      <x:c r="V194" s="1196"/>
      <x:c r="W194" s="1196"/>
      <x:c r="X194" s="1196"/>
    </x:row>
    <x:row r="195">
      <x:c r="U195" s="1196"/>
      <x:c r="V195" s="1196"/>
      <x:c r="W195" s="1196"/>
      <x:c r="X195" s="1196"/>
    </x:row>
    <x:row r="196">
      <x:c r="U196" s="1196"/>
      <x:c r="V196" s="1196"/>
      <x:c r="W196" s="1196"/>
      <x:c r="X196" s="1196"/>
    </x:row>
    <x:row r="197">
      <x:c r="U197" s="1196"/>
      <x:c r="V197" s="1196"/>
      <x:c r="W197" s="1196"/>
      <x:c r="X197" s="1196"/>
    </x:row>
    <x:row r="198">
      <x:c r="U198" s="1196"/>
      <x:c r="V198" s="1196"/>
      <x:c r="W198" s="1196"/>
      <x:c r="X198" s="1196"/>
    </x:row>
    <x:row r="199">
      <x:c r="U199" s="1196"/>
      <x:c r="V199" s="1196"/>
      <x:c r="W199" s="1196"/>
      <x:c r="X199" s="1196"/>
    </x:row>
    <x:row r="200">
      <x:c r="U200" s="1196"/>
      <x:c r="V200" s="1196"/>
      <x:c r="W200" s="1196"/>
      <x:c r="X200" s="1196"/>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I1"/>
    <x:mergeCell ref="A2:I2"/>
    <x:mergeCell ref="U1:X1"/>
    <x:mergeCell ref="V2:X2"/>
    <x:mergeCell ref="V3:X3"/>
    <x:mergeCell ref="V4:X4"/>
    <x:mergeCell ref="V5:X5"/>
    <x:mergeCell ref="V6:X6"/>
    <x:mergeCell ref="V7:X7"/>
    <x:mergeCell ref="A30:J30"/>
    <x:mergeCell ref="A45:I45"/>
  </x:mergeCells>
  <x:conditionalFormatting sqref="E47:E53">
    <x:cfRule type="cellIs" dxfId="0" priority="1" operator="greaterThan">
      <x:formula>1.05</x:formula>
    </x:cfRule>
    <x:cfRule type="cellIs" dxfId="1" priority="2" operator="between">
      <x:formula>0.95</x:formula>
      <x:formula>1.05</x:formula>
    </x:cfRule>
    <x:cfRule type="cellIs" dxfId="2" priority="3" operator="lessThan">
      <x:formula>0.95</x:formula>
    </x:cfRule>
  </x:conditionalFormatting>
  <x:conditionalFormatting sqref="F47:F53">
    <x:cfRule type="cellIs" dxfId="3" priority="4" operator="greaterThan">
      <x:formula>0</x:formula>
    </x:cfRule>
    <x:cfRule type="cellIs" dxfId="4" priority="5" operator="between">
      <x:formula>-0.05</x:formula>
      <x:formula>0.05</x:formula>
    </x:cfRule>
    <x:cfRule type="cellIs" dxfId="5" priority="6" operator="lessThan">
      <x:formula>-0.05</x:formula>
    </x:cfRule>
  </x:conditionalFormatting>
  <x:conditionalFormatting sqref="G47:G53">
    <x:cfRule type="cellIs" dxfId="6" priority="7" operator="greaterThanOrEqual">
      <x:formula>1</x:formula>
    </x:cfRule>
    <x:cfRule type="cellIs" dxfId="7" priority="8" operator="lessThan">
      <x:formula>1</x:formula>
    </x:cfRule>
  </x:conditionalFormatting>
  <x:pageMargins left="0.7" right="0.7" top="0.75" bottom="0.75" header="0.3" footer="0.3"/>
</x:worksheet>
</file>

<file path=xl/worksheets/sheet11.xml><?xml version="1.0" encoding="utf-8"?>
<x:worksheet xmlns:x="http://schemas.openxmlformats.org/spreadsheetml/2006/main">
  <x:sheetFormatPr defaultRowHeight="15"/>
  <x:cols>
    <x:col min="1" max="1" width="24" hidden="0" customWidth="1"/>
    <x:col min="2" max="2" width="45" hidden="0" customWidth="1"/>
    <x:col min="3" max="3" width="30" hidden="0" customWidth="1"/>
    <x:col min="4" max="4" width="28" hidden="0" customWidth="1"/>
    <x:col min="5" max="5" width="32" hidden="0" customWidth="1"/>
    <x:col min="6" max="6" width="36" hidden="0" customWidth="1"/>
    <x:col min="7" max="7" width="24" hidden="0" customWidth="1"/>
    <x:col min="8" max="8" width="36" hidden="0" customWidth="1"/>
  </x:cols>
  <x:sheetData>
    <x:row r="1" ht="30" customHeight="1">
      <x:c r="A1" s="533" t="str">
        <x:v>Read Me — Financial Definitions and Model Use</x:v>
      </x:c>
      <x:c r="B1" s="533"/>
      <x:c r="C1" s="533"/>
      <x:c r="D1" s="533"/>
      <x:c r="E1" s="533"/>
      <x:c r="F1" s="533"/>
      <x:c r="G1" s="533"/>
      <x:c r="H1" s="533"/>
      <x:c r="I1" s="339"/>
      <x:c r="J1" s="339"/>
      <x:c r="K1" s="339"/>
      <x:c r="L1" s="339"/>
      <x:c r="M1" s="339"/>
      <x:c r="N1" s="339"/>
      <x:c r="O1" s="339"/>
      <x:c r="P1" s="339"/>
      <x:c r="Q1" s="339"/>
      <x:c r="R1" s="339"/>
      <x:c r="S1" s="339"/>
      <x:c r="T1" s="339"/>
      <x:c r="U1" s="339"/>
      <x:c r="V1" s="339"/>
      <x:c r="W1" s="339"/>
      <x:c r="X1" s="339"/>
      <x:c r="Y1" s="339"/>
      <x:c r="Z1" s="339"/>
    </x:row>
    <x:row r="2" ht="28" customHeight="1">
      <x:c r="A2" s="537" t="str">
        <x:v>The workbook separates cash expenditure, participant financial value, Crown fiscal effects and wider social value.</x:v>
      </x:c>
      <x:c r="B2" s="537" t="str">
        <x:v>The model is designed for audit, challenge, causal testing and staged decision-making.</x:v>
      </x:c>
      <x:c r="C2" s="537" t="str">
        <x:v>The workbook separates cash expenditure, participant financial value, Crown fiscal effects and wider social value.</x:v>
      </x:c>
      <x:c r="D2" s="537" t="str">
        <x:v>The workbook separates cash expenditure, participant financial value, Crown fiscal effects and wider social value.</x:v>
      </x:c>
      <x:c r="E2" s="537" t="str">
        <x:v>The workbook separates cash expenditure, participant financial value, Crown fiscal effects and wider social value.</x:v>
      </x:c>
      <x:c r="F2" s="537" t="str">
        <x:v>The workbook separates cash expenditure, participant financial value, Crown fiscal effects and wider social value.</x:v>
      </x:c>
      <x:c r="G2" s="537" t="str">
        <x:v>The workbook separates cash expenditure, participant financial value, Crown fiscal effects and wider social value.</x:v>
      </x:c>
      <x:c r="H2" s="537" t="str">
        <x:v>The workbook separates cash expenditure, participant financial value, Crown fiscal effects and wider social value.</x:v>
      </x:c>
      <x:c r="I2" s="339"/>
      <x:c r="J2" s="339"/>
      <x:c r="K2" s="339"/>
      <x:c r="L2" s="339"/>
      <x:c r="M2" s="339"/>
      <x:c r="N2" s="339"/>
      <x:c r="O2" s="339"/>
      <x:c r="P2" s="339"/>
      <x:c r="Q2" s="339"/>
      <x:c r="R2" s="339"/>
      <x:c r="S2" s="339"/>
      <x:c r="T2" s="339"/>
      <x:c r="U2" s="339"/>
      <x:c r="V2" s="339"/>
      <x:c r="W2" s="339"/>
      <x:c r="X2" s="339"/>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339"/>
      <x:c r="V3" s="339"/>
      <x:c r="W3" s="339"/>
      <x:c r="X3" s="339"/>
      <x:c r="Y3" s="339"/>
      <x:c r="Z3" s="339"/>
    </x:row>
    <x:row r="4" ht="28" customHeight="1">
      <x:c r="A4" s="527" t="str">
        <x:v>Term</x:v>
      </x:c>
      <x:c r="B4" s="527" t="str">
        <x:v>Definition</x:v>
      </x:c>
      <x:c r="C4" s="527" t="str">
        <x:v>Cash appropriation effect</x:v>
      </x:c>
      <x:c r="D4" s="527" t="str">
        <x:v>Student perspective</x:v>
      </x:c>
      <x:c r="E4" s="527" t="str">
        <x:v>Crown perspective</x:v>
      </x:c>
      <x:c r="F4" s="527" t="str">
        <x:v>Social-value treatment</x:v>
      </x:c>
      <x:c r="G4" s="527" t="str">
        <x:v>Primary sheet</x:v>
      </x:c>
      <x:c r="H4" s="527" t="str">
        <x:v>Validation need</x:v>
      </x:c>
      <x:c r="I4" s="339"/>
      <x:c r="J4" s="339"/>
      <x:c r="K4" s="339"/>
      <x:c r="L4" s="339"/>
      <x:c r="M4" s="339"/>
      <x:c r="N4" s="339"/>
      <x:c r="O4" s="339"/>
      <x:c r="P4" s="339"/>
      <x:c r="Q4" s="339"/>
      <x:c r="R4" s="339"/>
      <x:c r="S4" s="339"/>
      <x:c r="T4" s="339"/>
      <x:c r="U4" s="339"/>
      <x:c r="V4" s="339"/>
      <x:c r="W4" s="339"/>
      <x:c r="X4" s="339"/>
      <x:c r="Y4" s="339"/>
      <x:c r="Z4" s="339"/>
    </x:row>
    <x:row r="5">
      <x:c r="A5" s="498" t="str">
        <x:v>Cash appropriation</x:v>
      </x:c>
      <x:c r="B5" s="28" t="str">
        <x:v>Parliamentary authority and cash required to fund programme payments and operations.</x:v>
      </x:c>
      <x:c r="C5" s="28" t="str">
        <x:v>Full amount when expenditure occurs.</x:v>
      </x:c>
      <x:c r="D5" s="28" t="str">
        <x:v>Not a measure of personal gain.</x:v>
      </x:c>
      <x:c r="E5" s="28" t="str">
        <x:v>Direct fiscal cost.</x:v>
      </x:c>
      <x:c r="F5" s="28" t="str">
        <x:v>Cost denominator.</x:v>
      </x:c>
      <x:c r="G5" s="28" t="str">
        <x:v>Stage sheets</x:v>
      </x:c>
      <x:c r="H5" s="35" t="str">
        <x:v>Appropriation and accounting advice.</x:v>
      </x:c>
      <x:c r="I5" s="339"/>
      <x:c r="J5" s="339"/>
      <x:c r="K5" s="339"/>
      <x:c r="L5" s="339"/>
      <x:c r="M5" s="339"/>
      <x:c r="N5" s="339"/>
      <x:c r="O5" s="339"/>
      <x:c r="P5" s="339"/>
      <x:c r="Q5" s="339"/>
      <x:c r="R5" s="339"/>
      <x:c r="S5" s="339"/>
      <x:c r="T5" s="339"/>
      <x:c r="U5" s="339"/>
      <x:c r="V5" s="339"/>
      <x:c r="W5" s="339"/>
      <x:c r="X5" s="339"/>
      <x:c r="Y5" s="339"/>
      <x:c r="Z5" s="339"/>
    </x:row>
    <x:row r="6">
      <x:c r="A6" s="498" t="str">
        <x:v>Programme expenditure</x:v>
      </x:c>
      <x:c r="B6" s="28" t="str">
        <x:v>Immediate-access payments, Learning Capital deposits and operating costs.</x:v>
      </x:c>
      <x:c r="C6" s="28" t="str">
        <x:v>Included in full.</x:v>
      </x:c>
      <x:c r="D6" s="28" t="str">
        <x:v>Payments and services received.</x:v>
      </x:c>
      <x:c r="E6" s="28" t="str">
        <x:v>Direct programme cost.</x:v>
      </x:c>
      <x:c r="F6" s="28" t="str">
        <x:v>Cost denominator.</x:v>
      </x:c>
      <x:c r="G6" s="28" t="str">
        <x:v>Stage sheets</x:v>
      </x:c>
      <x:c r="H6" s="35" t="str">
        <x:v>GST and accounting treatment.</x:v>
      </x:c>
      <x:c r="I6" s="339"/>
      <x:c r="J6" s="339"/>
      <x:c r="K6" s="339"/>
      <x:c r="L6" s="339"/>
      <x:c r="M6" s="339"/>
      <x:c r="N6" s="339"/>
      <x:c r="O6" s="339"/>
      <x:c r="P6" s="339"/>
      <x:c r="Q6" s="339"/>
      <x:c r="R6" s="339"/>
      <x:c r="S6" s="339"/>
      <x:c r="T6" s="339"/>
      <x:c r="U6" s="339"/>
      <x:c r="V6" s="339"/>
      <x:c r="W6" s="339"/>
      <x:c r="X6" s="339"/>
      <x:c r="Y6" s="339"/>
      <x:c r="Z6" s="339"/>
    </x:row>
    <x:row r="7">
      <x:c r="A7" s="498" t="str">
        <x:v>Learning Capital Account</x:v>
      </x:c>
      <x:c r="B7" s="28" t="str">
        <x:v>Protected, individually attributed education capital with approved-use restrictions.</x:v>
      </x:c>
      <x:c r="C7" s="28" t="str">
        <x:v>Deposit is full expenditure.</x:v>
      </x:c>
      <x:c r="D7" s="28" t="str">
        <x:v>Protected financial resource.</x:v>
      </x:c>
      <x:c r="E7" s="28" t="str">
        <x:v>Asset/control treatment unresolved.</x:v>
      </x:c>
      <x:c r="F7" s="28" t="str">
        <x:v>Principal is not a free social benefit.</x:v>
      </x:c>
      <x:c r="G7" s="28" t="str">
        <x:v>Learning Capital &amp; ROI</x:v>
      </x:c>
      <x:c r="H7" s="35" t="str">
        <x:v>Legal and beneficial ownership.</x:v>
      </x:c>
      <x:c r="I7" s="339"/>
      <x:c r="J7" s="339"/>
      <x:c r="K7" s="339"/>
      <x:c r="L7" s="339"/>
      <x:c r="M7" s="339"/>
      <x:c r="N7" s="339"/>
      <x:c r="O7" s="339"/>
      <x:c r="P7" s="339"/>
      <x:c r="Q7" s="339"/>
      <x:c r="R7" s="339"/>
      <x:c r="S7" s="339"/>
      <x:c r="T7" s="339"/>
      <x:c r="U7" s="339"/>
      <x:c r="V7" s="339"/>
      <x:c r="W7" s="339"/>
      <x:c r="X7" s="339"/>
      <x:c r="Y7" s="339"/>
      <x:c r="Z7" s="339"/>
    </x:row>
    <x:row r="8">
      <x:c r="A8" s="498" t="str">
        <x:v>Investment return</x:v>
      </x:c>
      <x:c r="B8" s="28" t="str">
        <x:v>Market return after fees and tax drag.</x:v>
      </x:c>
      <x:c r="C8" s="28" t="str">
        <x:v>No separate appropriation unless fees are Crown-paid.</x:v>
      </x:c>
      <x:c r="D8" s="28" t="str">
        <x:v>Changes account balance.</x:v>
      </x:c>
      <x:c r="E8" s="28" t="str">
        <x:v>May change administration and asset treatment.</x:v>
      </x:c>
      <x:c r="F8" s="28" t="str">
        <x:v>Exclude as free value unless opportunity cost is addressed.</x:v>
      </x:c>
      <x:c r="G8" s="28" t="str">
        <x:v>Learning Capital &amp; ROI</x:v>
      </x:c>
      <x:c r="H8" s="35" t="str">
        <x:v>Mandate, provider, fees, tax and losses.</x:v>
      </x:c>
      <x:c r="I8" s="339"/>
      <x:c r="J8" s="339"/>
      <x:c r="K8" s="339"/>
      <x:c r="L8" s="339"/>
      <x:c r="M8" s="339"/>
      <x:c r="N8" s="339"/>
      <x:c r="O8" s="339"/>
      <x:c r="P8" s="339"/>
      <x:c r="Q8" s="339"/>
      <x:c r="R8" s="339"/>
      <x:c r="S8" s="339"/>
      <x:c r="T8" s="339"/>
      <x:c r="U8" s="339"/>
      <x:c r="V8" s="339"/>
      <x:c r="W8" s="339"/>
      <x:c r="X8" s="339"/>
      <x:c r="Y8" s="339"/>
      <x:c r="Z8" s="339"/>
    </x:row>
    <x:row r="9">
      <x:c r="A9" s="498" t="str">
        <x:v>Student debt displaced</x:v>
      </x:c>
      <x:c r="B9" s="28" t="str">
        <x:v>Borrowing that an approved withdrawal is expected to replace.</x:v>
      </x:c>
      <x:c r="C9" s="28" t="str">
        <x:v>No immediate appropriation reduction.</x:v>
      </x:c>
      <x:c r="D9" s="28" t="str">
        <x:v>Lower future debt principal.</x:v>
      </x:c>
      <x:c r="E9" s="28" t="str">
        <x:v>Reduces new lending cash but also future repayments.</x:v>
      </x:c>
      <x:c r="F9" s="28" t="str">
        <x:v>Do not add to account balance.</x:v>
      </x:c>
      <x:c r="G9" s="28" t="str">
        <x:v>Learning Capital &amp; ROI</x:v>
      </x:c>
      <x:c r="H9" s="35" t="str">
        <x:v>Counterfactual borrowing evidence.</x:v>
      </x:c>
      <x:c r="I9" s="339"/>
      <x:c r="J9" s="339"/>
      <x:c r="K9" s="339"/>
      <x:c r="L9" s="339"/>
      <x:c r="M9" s="339"/>
      <x:c r="N9" s="339"/>
      <x:c r="O9" s="339"/>
      <x:c r="P9" s="339"/>
      <x:c r="Q9" s="339"/>
      <x:c r="R9" s="339"/>
      <x:c r="S9" s="339"/>
      <x:c r="T9" s="339"/>
      <x:c r="U9" s="339"/>
      <x:c r="V9" s="339"/>
      <x:c r="W9" s="339"/>
      <x:c r="X9" s="339"/>
      <x:c r="Y9" s="339"/>
      <x:c r="Z9" s="339"/>
    </x:row>
    <x:row r="10">
      <x:c r="A10" s="498" t="str">
        <x:v>Nominal loan principal</x:v>
      </x:c>
      <x:c r="B10" s="28" t="str">
        <x:v>Face value lent and repayable.</x:v>
      </x:c>
      <x:c r="C10" s="28" t="str">
        <x:v>New lending cash flow.</x:v>
      </x:c>
      <x:c r="D10" s="28" t="str">
        <x:v>Borrower liability.</x:v>
      </x:c>
      <x:c r="E10" s="28" t="str">
        <x:v>Crown receivable before valuation.</x:v>
      </x:c>
      <x:c r="F10" s="28" t="str">
        <x:v>Not a net saving if avoided.</x:v>
      </x:c>
      <x:c r="G10" s="28" t="str">
        <x:v>Student Loan section</x:v>
      </x:c>
      <x:c r="H10" s="35" t="str">
        <x:v>StudyLink administrative data.</x:v>
      </x:c>
      <x:c r="I10" s="339"/>
      <x:c r="J10" s="339"/>
      <x:c r="K10" s="339"/>
      <x:c r="L10" s="339"/>
      <x:c r="M10" s="339"/>
      <x:c r="N10" s="339"/>
      <x:c r="O10" s="339"/>
      <x:c r="P10" s="339"/>
      <x:c r="Q10" s="339"/>
      <x:c r="R10" s="339"/>
      <x:c r="S10" s="339"/>
      <x:c r="T10" s="339"/>
      <x:c r="U10" s="339"/>
      <x:c r="V10" s="339"/>
      <x:c r="W10" s="339"/>
      <x:c r="X10" s="339"/>
      <x:c r="Y10" s="339"/>
      <x:c r="Z10" s="339"/>
    </x:row>
    <x:row r="11">
      <x:c r="A11" s="498" t="str">
        <x:v>Real purchasing power</x:v>
      </x:c>
      <x:c r="B11" s="28" t="str">
        <x:v>Nominal amount deflated by cumulative CPI.</x:v>
      </x:c>
      <x:c r="C11" s="28" t="str">
        <x:v>No separate cash flow.</x:v>
      </x:c>
      <x:c r="D11" s="28" t="str">
        <x:v>Shows what money can buy.</x:v>
      </x:c>
      <x:c r="E11" s="28" t="str">
        <x:v>Explains erosion of delayed repayments.</x:v>
      </x:c>
      <x:c r="F11" s="28" t="str">
        <x:v>Alternative view only.</x:v>
      </x:c>
      <x:c r="G11" s="28" t="str">
        <x:v>Learning Capital &amp; ROI</x:v>
      </x:c>
      <x:c r="H11" s="35" t="str">
        <x:v>Treasury CPI curve.</x:v>
      </x:c>
      <x:c r="I11" s="339"/>
      <x:c r="J11" s="339"/>
      <x:c r="K11" s="339"/>
      <x:c r="L11" s="339"/>
      <x:c r="M11" s="339"/>
      <x:c r="N11" s="339"/>
      <x:c r="O11" s="339"/>
      <x:c r="P11" s="339"/>
      <x:c r="Q11" s="339"/>
      <x:c r="R11" s="339"/>
      <x:c r="S11" s="339"/>
      <x:c r="T11" s="339"/>
      <x:c r="U11" s="339"/>
      <x:c r="V11" s="339"/>
      <x:c r="W11" s="339"/>
      <x:c r="X11" s="339"/>
      <x:c r="Y11" s="339"/>
      <x:c r="Z11" s="339"/>
    </x:row>
    <x:row r="12">
      <x:c r="A12" s="498" t="str">
        <x:v>Fair value</x:v>
      </x:c>
      <x:c r="B12" s="28" t="str">
        <x:v>Present economic value of expected loan repayments under the official actuarial method.</x:v>
      </x:c>
      <x:c r="C12" s="28" t="str">
        <x:v>Initial write-down recognised at origination.</x:v>
      </x:c>
      <x:c r="D12" s="28" t="str">
        <x:v>Not the borrower balance.</x:v>
      </x:c>
      <x:c r="E12" s="28" t="str">
        <x:v>Central Crown fiscal measure.</x:v>
      </x:c>
      <x:c r="F12" s="28" t="str">
        <x:v>May represent fiscal efficiency.</x:v>
      </x:c>
      <x:c r="G12" s="28" t="str">
        <x:v>Learning Capital &amp; ROI</x:v>
      </x:c>
      <x:c r="H12" s="28" t="str">
        <x:v>Official actuarial method.</x:v>
      </x:c>
      <x:c r="I12" s="339"/>
      <x:c r="J12" s="339"/>
      <x:c r="K12" s="339"/>
      <x:c r="L12" s="339"/>
      <x:c r="M12" s="339"/>
      <x:c r="N12" s="339"/>
      <x:c r="O12" s="339"/>
      <x:c r="P12" s="339"/>
      <x:c r="Q12" s="339"/>
      <x:c r="R12" s="339"/>
      <x:c r="S12" s="339"/>
      <x:c r="T12" s="339"/>
      <x:c r="U12" s="339"/>
      <x:c r="V12" s="339"/>
      <x:c r="W12" s="339"/>
      <x:c r="X12" s="339"/>
      <x:c r="Y12" s="339"/>
      <x:c r="Z12" s="339"/>
    </x:row>
    <x:row r="13">
      <x:c r="A13" s="498" t="str">
        <x:v>Cost of capital</x:v>
      </x:c>
      <x:c r="B13" s="28" t="str">
        <x:v>Annual resource cost of capital committed to the student-loan asset.</x:v>
      </x:c>
      <x:c r="C13" s="28" t="str">
        <x:v>Not a separate programme appropriation.</x:v>
      </x:c>
      <x:c r="D13" s="28" t="str">
        <x:v>No direct domestic-borrower charge.</x:v>
      </x:c>
      <x:c r="E13" s="28" t="str">
        <x:v>Carrying-cost perspective.</x:v>
      </x:c>
      <x:c r="F13" s="28" t="str">
        <x:v>Overlaps fair value.</x:v>
      </x:c>
      <x:c r="G13" s="28" t="str">
        <x:v>Learning Capital &amp; ROI</x:v>
      </x:c>
      <x:c r="H13" s="28" t="str">
        <x:v>Official rate and duration.</x:v>
      </x:c>
      <x:c r="I13" s="339"/>
      <x:c r="J13" s="339"/>
      <x:c r="K13" s="339"/>
      <x:c r="L13" s="339"/>
      <x:c r="M13" s="339"/>
      <x:c r="N13" s="339"/>
      <x:c r="O13" s="339"/>
      <x:c r="P13" s="339"/>
      <x:c r="Q13" s="339"/>
      <x:c r="R13" s="339"/>
      <x:c r="S13" s="339"/>
      <x:c r="T13" s="339"/>
      <x:c r="U13" s="339"/>
      <x:c r="V13" s="339"/>
      <x:c r="W13" s="339"/>
      <x:c r="X13" s="339"/>
      <x:c r="Y13" s="339"/>
      <x:c r="Z13" s="339"/>
    </x:row>
    <x:row r="14">
      <x:c r="A14" s="498" t="str">
        <x:v>Crown fiscal saving</x:v>
      </x:c>
      <x:c r="B14" s="28" t="str">
        <x:v>Official fair-value cost avoided plus valid marginal savings, less consequential fiscal costs.</x:v>
      </x:c>
      <x:c r="C14" s="28" t="str">
        <x:v>Occurs when lending is genuinely displaced.</x:v>
      </x:c>
      <x:c r="D14" s="28" t="str">
        <x:v>Indirect.</x:v>
      </x:c>
      <x:c r="E14" s="28" t="str">
        <x:v>Net fiscal offset.</x:v>
      </x:c>
      <x:c r="F14" s="28" t="str">
        <x:v>Add once only.</x:v>
      </x:c>
      <x:c r="G14" s="28" t="str">
        <x:v>Cohort Bridge</x:v>
      </x:c>
      <x:c r="H14" s="28" t="str">
        <x:v>Administration and tertiary-system costs.</x:v>
      </x:c>
      <x:c r="I14" s="339"/>
      <x:c r="J14" s="339"/>
      <x:c r="K14" s="339"/>
      <x:c r="L14" s="339"/>
      <x:c r="M14" s="339"/>
      <x:c r="N14" s="339"/>
      <x:c r="O14" s="339"/>
      <x:c r="P14" s="339"/>
      <x:c r="Q14" s="339"/>
      <x:c r="R14" s="339"/>
      <x:c r="S14" s="339"/>
      <x:c r="T14" s="339"/>
      <x:c r="U14" s="339"/>
      <x:c r="V14" s="339"/>
      <x:c r="W14" s="339"/>
      <x:c r="X14" s="339"/>
      <x:c r="Y14" s="339"/>
      <x:c r="Z14" s="339"/>
    </x:row>
    <x:row r="15">
      <x:c r="A15" s="498" t="str">
        <x:v>Wider social benefit</x:v>
      </x:c>
      <x:c r="B15" s="28" t="str">
        <x:v>Earnings, wellbeing, health, justice and other effects attributable to the programme.</x:v>
      </x:c>
      <x:c r="C15" s="28" t="str">
        <x:v>Usually not cash appropriation.</x:v>
      </x:c>
      <x:c r="D15" s="28" t="str">
        <x:v>May improve life outcomes.</x:v>
      </x:c>
      <x:c r="E15" s="28" t="str">
        <x:v>May change taxes and service costs.</x:v>
      </x:c>
      <x:c r="F15" s="28" t="str">
        <x:v>Include only with causal evidence and overlap controls.</x:v>
      </x:c>
      <x:c r="G15" s="28" t="str">
        <x:v>Benefits &amp; BCR</x:v>
      </x:c>
      <x:c r="H15" s="28" t="str">
        <x:v>Pilot outcome evidence.</x:v>
      </x:c>
      <x:c r="I15" s="339"/>
      <x:c r="J15" s="339"/>
      <x:c r="K15" s="339"/>
      <x:c r="L15" s="339"/>
      <x:c r="M15" s="339"/>
      <x:c r="N15" s="339"/>
      <x:c r="O15" s="339"/>
      <x:c r="P15" s="339"/>
      <x:c r="Q15" s="339"/>
      <x:c r="R15" s="339"/>
      <x:c r="S15" s="339"/>
      <x:c r="T15" s="339"/>
      <x:c r="U15" s="339"/>
      <x:c r="V15" s="339"/>
      <x:c r="W15" s="339"/>
      <x:c r="X15" s="339"/>
      <x:c r="Y15" s="339"/>
      <x:c r="Z15" s="339"/>
    </x:row>
    <x:row r="16">
      <x:c r="A16" s="890" t="str">
        <x:v>Whole-cohort capability</x:v>
      </x:c>
      <x:c r="B16" s="28" t="str">
        <x:v>Attendance, attainment, transition, completion and employment effects across the participating population.</x:v>
      </x:c>
      <x:c r="C16" s="28" t="str">
        <x:v>No automatic cash reduction.</x:v>
      </x:c>
      <x:c r="D16" s="28" t="str">
        <x:v>Potential education and earnings gain.</x:v>
      </x:c>
      <x:c r="E16" s="28" t="str">
        <x:v>Potential tax and benefit effects.</x:v>
      </x:c>
      <x:c r="F16" s="28" t="str">
        <x:v>Monetise only through non-overlapping earnings or supported wellbeing channels.</x:v>
      </x:c>
      <x:c r="G16" s="28" t="str">
        <x:v>Human Capital &amp; Earnings</x:v>
      </x:c>
      <x:c r="H16" s="28" t="str">
        <x:v>Pilot causal evidence.</x:v>
      </x:c>
      <x:c r="I16" s="339"/>
      <x:c r="J16" s="339"/>
      <x:c r="K16" s="339"/>
      <x:c r="L16" s="339"/>
      <x:c r="M16" s="339"/>
      <x:c r="N16" s="339"/>
      <x:c r="O16" s="339"/>
      <x:c r="P16" s="339"/>
      <x:c r="Q16" s="339"/>
      <x:c r="R16" s="339"/>
      <x:c r="S16" s="339"/>
      <x:c r="T16" s="339"/>
      <x:c r="U16" s="339"/>
      <x:c r="V16" s="339"/>
      <x:c r="W16" s="339"/>
      <x:c r="X16" s="339"/>
      <x:c r="Y16" s="339"/>
      <x:c r="Z16" s="339"/>
    </x:row>
    <x:row r="17">
      <x:c r="A17" s="890" t="str">
        <x:v>High-risk outcome</x:v>
      </x:c>
      <x:c r="B17" s="28" t="str">
        <x:v>Sustained NEET and concentrated disengagement outcomes.</x:v>
      </x:c>
      <x:c r="C17" s="28" t="str">
        <x:v>No automatic cash reduction.</x:v>
      </x:c>
      <x:c r="D17" s="28" t="str">
        <x:v>Avoided severe negative outcome.</x:v>
      </x:c>
      <x:c r="E17" s="28" t="str">
        <x:v>Potential welfare and fiscal effect.</x:v>
      </x:c>
      <x:c r="F17" s="28" t="str">
        <x:v>Pacheco and Dye stream.</x:v>
      </x:c>
      <x:c r="G17" s="28" t="str">
        <x:v>Benefits &amp; BCR</x:v>
      </x:c>
      <x:c r="H17" s="28" t="str">
        <x:v>Target-group causal evidence.</x:v>
      </x:c>
      <x:c r="I17" s="339"/>
      <x:c r="J17" s="339"/>
      <x:c r="K17" s="339"/>
      <x:c r="L17" s="339"/>
      <x:c r="M17" s="339"/>
      <x:c r="N17" s="339"/>
      <x:c r="O17" s="339"/>
      <x:c r="P17" s="339"/>
      <x:c r="Q17" s="339"/>
      <x:c r="R17" s="339"/>
      <x:c r="S17" s="339"/>
      <x:c r="T17" s="339"/>
      <x:c r="U17" s="339"/>
      <x:c r="V17" s="339"/>
      <x:c r="W17" s="339"/>
      <x:c r="X17" s="339"/>
      <x:c r="Y17" s="339"/>
      <x:c r="Z17" s="339"/>
    </x:row>
    <x:row r="18">
      <x:c r="A18" s="890" t="str">
        <x:v>Affected share</x:v>
      </x:c>
      <x:c r="B18" s="28" t="str">
        <x:v>Proportion of the eligible broad cohort receiving an attributable earnings effect.</x:v>
      </x:c>
      <x:c r="C18" s="28" t="str">
        <x:v>No cash effect.</x:v>
      </x:c>
      <x:c r="D18" s="28" t="str">
        <x:v>Prevents assuming everybody benefits.</x:v>
      </x:c>
      <x:c r="E18" s="28" t="str">
        <x:v>Determines fiscal scale.</x:v>
      </x:c>
      <x:c r="F18" s="28" t="str">
        <x:v>Core sensitivity control.</x:v>
      </x:c>
      <x:c r="G18" s="28" t="str">
        <x:v>Human Capital &amp; Earnings</x:v>
      </x:c>
      <x:c r="H18" s="28" t="str">
        <x:v>Pilot distribution of effects.</x:v>
      </x:c>
      <x:c r="I18" s="339"/>
      <x:c r="J18" s="339"/>
      <x:c r="K18" s="339"/>
      <x:c r="L18" s="339"/>
      <x:c r="M18" s="339"/>
      <x:c r="N18" s="339"/>
      <x:c r="O18" s="339"/>
      <x:c r="P18" s="339"/>
      <x:c r="Q18" s="339"/>
      <x:c r="R18" s="339"/>
      <x:c r="S18" s="339"/>
      <x:c r="T18" s="339"/>
      <x:c r="U18" s="339"/>
      <x:c r="V18" s="339"/>
      <x:c r="W18" s="339"/>
      <x:c r="X18" s="339"/>
      <x:c r="Y18" s="339"/>
      <x:c r="Z18" s="339"/>
    </x:row>
    <x:row r="19">
      <x:c r="A19" s="890" t="str">
        <x:v>Attribution</x:v>
      </x:c>
      <x:c r="B19" s="28" t="str">
        <x:v>Share of an observed change caused by the programme.</x:v>
      </x:c>
      <x:c r="C19" s="28" t="str">
        <x:v>No cash effect.</x:v>
      </x:c>
      <x:c r="D19" s="28" t="str">
        <x:v>Causal discipline.</x:v>
      </x:c>
      <x:c r="E19" s="28" t="str">
        <x:v>Causal discipline.</x:v>
      </x:c>
      <x:c r="F19" s="28" t="str">
        <x:v>Required before monetisation.</x:v>
      </x:c>
      <x:c r="G19" s="28" t="str">
        <x:v>Assumptions</x:v>
      </x:c>
      <x:c r="H19" s="28" t="str">
        <x:v>Independent evaluation.</x:v>
      </x:c>
      <x:c r="I19" s="339"/>
      <x:c r="J19" s="339"/>
      <x:c r="K19" s="339"/>
      <x:c r="L19" s="339"/>
      <x:c r="M19" s="339"/>
      <x:c r="N19" s="339"/>
      <x:c r="O19" s="339"/>
      <x:c r="P19" s="339"/>
      <x:c r="Q19" s="339"/>
      <x:c r="R19" s="339"/>
      <x:c r="S19" s="339"/>
      <x:c r="T19" s="339"/>
      <x:c r="U19" s="339"/>
      <x:c r="V19" s="339"/>
      <x:c r="W19" s="339"/>
      <x:c r="X19" s="339"/>
      <x:c r="Y19" s="339"/>
      <x:c r="Z19" s="339"/>
    </x:row>
    <x:row r="20">
      <x:c r="A20" s="890" t="str">
        <x:v>Deadweight</x:v>
      </x:c>
      <x:c r="B20" s="28" t="str">
        <x:v>Outcomes that would have occurred without the programme.</x:v>
      </x:c>
      <x:c r="C20" s="28" t="str">
        <x:v>No cash effect.</x:v>
      </x:c>
      <x:c r="D20" s="28" t="str">
        <x:v>Not additional.</x:v>
      </x:c>
      <x:c r="E20" s="28" t="str">
        <x:v>Not additional.</x:v>
      </x:c>
      <x:c r="F20" s="28" t="str">
        <x:v>Deducted from benefits.</x:v>
      </x:c>
      <x:c r="G20" s="28" t="str">
        <x:v>Human Capital &amp; Earnings</x:v>
      </x:c>
      <x:c r="H20" s="28" t="str">
        <x:v>Counterfactual design.</x:v>
      </x:c>
      <x:c r="I20" s="339"/>
      <x:c r="J20" s="339"/>
      <x:c r="K20" s="339"/>
      <x:c r="L20" s="339"/>
      <x:c r="M20" s="339"/>
      <x:c r="N20" s="339"/>
      <x:c r="O20" s="339"/>
      <x:c r="P20" s="339"/>
      <x:c r="Q20" s="339"/>
      <x:c r="R20" s="339"/>
      <x:c r="S20" s="339"/>
      <x:c r="T20" s="339"/>
      <x:c r="U20" s="339"/>
      <x:c r="V20" s="339"/>
      <x:c r="W20" s="339"/>
      <x:c r="X20" s="339"/>
      <x:c r="Y20" s="339"/>
      <x:c r="Z20" s="339"/>
    </x:row>
    <x:row r="21">
      <x:c r="A21" s="890" t="str">
        <x:v>Displacement</x:v>
      </x:c>
      <x:c r="B21" s="28" t="str">
        <x:v>Programme participants replacing other workers or activity.</x:v>
      </x:c>
      <x:c r="C21" s="28" t="str">
        <x:v>No cash effect.</x:v>
      </x:c>
      <x:c r="D21" s="28" t="str">
        <x:v>May reduce net opportunity.</x:v>
      </x:c>
      <x:c r="E21" s="28" t="str">
        <x:v>May reduce tax additionality.</x:v>
      </x:c>
      <x:c r="F21" s="28" t="str">
        <x:v>Deducted from benefits.</x:v>
      </x:c>
      <x:c r="G21" s="28" t="str">
        <x:v>Human Capital &amp; Earnings</x:v>
      </x:c>
      <x:c r="H21" s="28" t="str">
        <x:v>Labour-market evidence.</x:v>
      </x:c>
      <x:c r="I21" s="339"/>
      <x:c r="J21" s="339"/>
      <x:c r="K21" s="339"/>
      <x:c r="L21" s="339"/>
      <x:c r="M21" s="339"/>
      <x:c r="N21" s="339"/>
      <x:c r="O21" s="339"/>
      <x:c r="P21" s="339"/>
      <x:c r="Q21" s="339"/>
      <x:c r="R21" s="339"/>
      <x:c r="S21" s="339"/>
      <x:c r="T21" s="339"/>
      <x:c r="U21" s="339"/>
      <x:c r="V21" s="339"/>
      <x:c r="W21" s="339"/>
      <x:c r="X21" s="339"/>
      <x:c r="Y21" s="339"/>
      <x:c r="Z21" s="339"/>
    </x:row>
    <x:row r="22">
      <x:c r="A22" s="890" t="str">
        <x:v>General-equilibrium haircut</x:v>
      </x:c>
      <x:c r="B22" s="28" t="str">
        <x:v>Adjustment for oversupply, wage suppression, credential inflation, automation and capacity constraints.</x:v>
      </x:c>
      <x:c r="C22" s="28" t="str">
        <x:v>No cash effect.</x:v>
      </x:c>
      <x:c r="D22" s="28" t="str">
        <x:v>May reduce job quality.</x:v>
      </x:c>
      <x:c r="E22" s="28" t="str">
        <x:v>May reduce fiscal return.</x:v>
      </x:c>
      <x:c r="F22" s="28" t="str">
        <x:v>Deducted from benefits.</x:v>
      </x:c>
      <x:c r="G22" s="28" t="str">
        <x:v>Human Capital &amp; Earnings</x:v>
      </x:c>
      <x:c r="H22" s="28" t="str">
        <x:v>Independent forecasting.</x:v>
      </x:c>
      <x:c r="I22" s="339"/>
      <x:c r="J22" s="339"/>
      <x:c r="K22" s="339"/>
      <x:c r="L22" s="339"/>
      <x:c r="M22" s="339"/>
      <x:c r="N22" s="339"/>
      <x:c r="O22" s="339"/>
      <x:c r="P22" s="339"/>
      <x:c r="Q22" s="339"/>
      <x:c r="R22" s="339"/>
      <x:c r="S22" s="339"/>
      <x:c r="T22" s="339"/>
      <x:c r="U22" s="339"/>
      <x:c r="V22" s="339"/>
      <x:c r="W22" s="339"/>
      <x:c r="X22" s="339"/>
      <x:c r="Y22" s="339"/>
      <x:c r="Z22" s="339"/>
    </x:row>
    <x:row r="23">
      <x:c r="A23" s="890" t="str">
        <x:v>Social break-even uplift</x:v>
      </x:c>
      <x:c r="B23" s="28" t="str">
        <x:v>Average persistent earnings uplift needed for social benefits to equal economic cost.</x:v>
      </x:c>
      <x:c r="C23" s="28" t="str">
        <x:v>No cash effect.</x:v>
      </x:c>
      <x:c r="D23" s="28" t="str">
        <x:v>Social value test.</x:v>
      </x:c>
      <x:c r="E23" s="28" t="str">
        <x:v>Not a fiscal return test.</x:v>
      </x:c>
      <x:c r="F23" s="28" t="str">
        <x:v>May become positive before Crown return.</x:v>
      </x:c>
      <x:c r="G23" s="28" t="str">
        <x:v>Human Capital &amp; Earnings</x:v>
      </x:c>
      <x:c r="H23" s="28" t="str">
        <x:v>Causal earnings evidence.</x:v>
      </x:c>
      <x:c r="I23" s="339"/>
      <x:c r="J23" s="339"/>
      <x:c r="K23" s="339"/>
      <x:c r="L23" s="339"/>
      <x:c r="M23" s="339"/>
      <x:c r="N23" s="339"/>
      <x:c r="O23" s="339"/>
      <x:c r="P23" s="339"/>
      <x:c r="Q23" s="339"/>
      <x:c r="R23" s="339"/>
      <x:c r="S23" s="339"/>
      <x:c r="T23" s="339"/>
      <x:c r="U23" s="339"/>
      <x:c r="V23" s="339"/>
      <x:c r="W23" s="339"/>
      <x:c r="X23" s="339"/>
      <x:c r="Y23" s="339"/>
      <x:c r="Z23" s="339"/>
    </x:row>
    <x:row r="24">
      <x:c r="A24" s="890" t="str">
        <x:v>Crown fiscal break-even uplift</x:v>
      </x:c>
      <x:c r="B24" s="28" t="str">
        <x:v>Earnings uplift needed for tax, ACC and valid fiscal offsets to cover net Crown expenditure.</x:v>
      </x:c>
      <x:c r="C24" s="28" t="str">
        <x:v>Direct fiscal test.</x:v>
      </x:c>
      <x:c r="D24" s="28" t="str">
        <x:v>Not the participant return.</x:v>
      </x:c>
      <x:c r="E24" s="28" t="str">
        <x:v>Crown affordability test.</x:v>
      </x:c>
      <x:c r="F24" s="28" t="str">
        <x:v>Gross earnings are excluded.</x:v>
      </x:c>
      <x:c r="G24" s="28" t="str">
        <x:v>Human Capital &amp; Earnings</x:v>
      </x:c>
      <x:c r="H24" s="28" t="str">
        <x:v>Tax, benefit and loan evidence.</x:v>
      </x:c>
      <x:c r="I24" s="339"/>
      <x:c r="J24" s="339"/>
      <x:c r="K24" s="339"/>
      <x:c r="L24" s="339"/>
      <x:c r="M24" s="339"/>
      <x:c r="N24" s="339"/>
      <x:c r="O24" s="339"/>
      <x:c r="P24" s="339"/>
      <x:c r="Q24" s="339"/>
      <x:c r="R24" s="339"/>
      <x:c r="S24" s="339"/>
      <x:c r="T24" s="339"/>
      <x:c r="U24" s="339"/>
      <x:c r="V24" s="339"/>
      <x:c r="W24" s="339"/>
      <x:c r="X24" s="339"/>
      <x:c r="Y24" s="339"/>
      <x:c r="Z24" s="339"/>
    </x:row>
    <x:row r="25">
      <x:c r="A25" s="890" t="str">
        <x:v>Committed co-investment</x:v>
      </x:c>
      <x:c r="B25" s="28" t="str">
        <x:v>Signed pooled third-party contribution subject to governance safeguards.</x:v>
      </x:c>
      <x:c r="C25" s="28" t="str">
        <x:v>Reduces Crown cash cost when received.</x:v>
      </x:c>
      <x:c r="D25" s="28" t="str">
        <x:v>Must not constrain career choice.</x:v>
      </x:c>
      <x:c r="E25" s="28" t="str">
        <x:v>Valid funding offset when committed.</x:v>
      </x:c>
      <x:c r="F25" s="28" t="str">
        <x:v>Does not reduce total social resource cost.</x:v>
      </x:c>
      <x:c r="G25" s="28" t="str">
        <x:v>Delivery Scenarios</x:v>
      </x:c>
      <x:c r="H25" s="28" t="str">
        <x:v>Signed agreement.</x:v>
      </x:c>
      <x:c r="I25" s="339"/>
      <x:c r="J25" s="339"/>
      <x:c r="K25" s="339"/>
      <x:c r="L25" s="339"/>
      <x:c r="M25" s="339"/>
      <x:c r="N25" s="339"/>
      <x:c r="O25" s="339"/>
      <x:c r="P25" s="339"/>
      <x:c r="Q25" s="339"/>
      <x:c r="R25" s="339"/>
      <x:c r="S25" s="339"/>
      <x:c r="T25" s="339"/>
      <x:c r="U25" s="339"/>
      <x:c r="V25" s="339"/>
      <x:c r="W25" s="339"/>
      <x:c r="X25" s="339"/>
      <x:c r="Y25" s="339"/>
      <x:c r="Z25" s="339"/>
    </x:row>
    <x:row r="26">
      <x:c r="A26" s="339"/>
      <x:c r="B26" s="339"/>
      <x:c r="C26" s="339"/>
      <x:c r="D26" s="339"/>
      <x:c r="E26" s="339"/>
      <x:c r="F26" s="339"/>
      <x:c r="G26" s="339"/>
      <x:c r="H26" s="339"/>
      <x:c r="I26" s="339"/>
      <x:c r="J26" s="339"/>
      <x:c r="K26" s="339"/>
      <x:c r="L26" s="339"/>
      <x:c r="M26" s="339"/>
      <x:c r="N26" s="339"/>
      <x:c r="O26" s="339"/>
      <x:c r="P26" s="339"/>
      <x:c r="Q26" s="339"/>
      <x:c r="R26" s="339"/>
      <x:c r="S26" s="339"/>
      <x:c r="T26" s="339"/>
      <x:c r="U26" s="339"/>
      <x:c r="V26" s="339"/>
      <x:c r="W26" s="339"/>
      <x:c r="X26" s="339"/>
      <x:c r="Y26" s="339"/>
      <x:c r="Z26" s="339"/>
    </x:row>
    <x:row r="27">
      <x:c r="A27" s="339"/>
      <x:c r="B27" s="339"/>
      <x:c r="C27" s="339"/>
      <x:c r="D27" s="339"/>
      <x:c r="E27" s="339"/>
      <x:c r="F27" s="339"/>
      <x:c r="G27" s="339"/>
      <x:c r="H27" s="339"/>
      <x:c r="I27" s="339"/>
      <x:c r="J27" s="339"/>
      <x:c r="K27" s="339"/>
      <x:c r="L27" s="339"/>
      <x:c r="M27" s="339"/>
      <x:c r="N27" s="339"/>
      <x:c r="O27" s="339"/>
      <x:c r="P27" s="339"/>
      <x:c r="Q27" s="339"/>
      <x:c r="R27" s="339"/>
      <x:c r="S27" s="339"/>
      <x:c r="T27" s="339"/>
      <x:c r="U27" s="339"/>
      <x:c r="V27" s="339"/>
      <x:c r="W27" s="339"/>
      <x:c r="X27" s="339"/>
      <x:c r="Y27" s="339"/>
      <x:c r="Z27" s="339"/>
    </x:row>
    <x:row r="28">
      <x:c r="A28" s="339"/>
      <x:c r="B28" s="339"/>
      <x:c r="C28" s="339"/>
      <x:c r="D28" s="339"/>
      <x:c r="E28" s="339"/>
      <x:c r="F28" s="339"/>
      <x:c r="G28" s="339"/>
      <x:c r="H28" s="339"/>
      <x:c r="I28" s="339"/>
      <x:c r="J28" s="339"/>
      <x:c r="K28" s="339"/>
      <x:c r="L28" s="339"/>
      <x:c r="M28" s="339"/>
      <x:c r="N28" s="339"/>
      <x:c r="O28" s="339"/>
      <x:c r="P28" s="339"/>
      <x:c r="Q28" s="339"/>
      <x:c r="R28" s="339"/>
      <x:c r="S28" s="339"/>
      <x:c r="T28" s="339"/>
      <x:c r="U28" s="339"/>
      <x:c r="V28" s="339"/>
      <x:c r="W28" s="339"/>
      <x:c r="X28" s="339"/>
      <x:c r="Y28" s="339"/>
      <x:c r="Z28" s="339"/>
    </x:row>
    <x:row r="29">
      <x:c r="A29" s="339"/>
      <x:c r="B29" s="339"/>
      <x:c r="C29" s="339"/>
      <x:c r="D29" s="339"/>
      <x:c r="E29" s="339"/>
      <x:c r="F29" s="339"/>
      <x:c r="G29" s="339"/>
      <x:c r="H29" s="339"/>
      <x:c r="I29" s="339"/>
      <x:c r="J29" s="339"/>
      <x:c r="K29" s="339"/>
      <x:c r="L29" s="339"/>
      <x:c r="M29" s="339"/>
      <x:c r="N29" s="339"/>
      <x:c r="O29" s="339"/>
      <x:c r="P29" s="339"/>
      <x:c r="Q29" s="339"/>
      <x:c r="R29" s="339"/>
      <x:c r="S29" s="339"/>
      <x:c r="T29" s="339"/>
      <x:c r="U29" s="339"/>
      <x:c r="V29" s="339"/>
      <x:c r="W29" s="339"/>
      <x:c r="X29" s="339"/>
      <x:c r="Y29" s="339"/>
      <x:c r="Z29" s="339"/>
    </x:row>
    <x:row r="30">
      <x:c r="A30" s="339"/>
      <x:c r="B30" s="339"/>
      <x:c r="C30" s="339"/>
      <x:c r="D30" s="339"/>
      <x:c r="E30" s="339"/>
      <x:c r="F30" s="339"/>
      <x:c r="G30" s="339"/>
      <x:c r="H30" s="339"/>
      <x:c r="I30" s="339"/>
      <x:c r="J30" s="339"/>
      <x:c r="K30" s="339"/>
      <x:c r="L30" s="339"/>
      <x:c r="M30" s="339"/>
      <x:c r="N30" s="339"/>
      <x:c r="O30" s="339"/>
      <x:c r="P30" s="339"/>
      <x:c r="Q30" s="339"/>
      <x:c r="R30" s="339"/>
      <x:c r="S30" s="339"/>
      <x:c r="T30" s="339"/>
      <x:c r="U30" s="339"/>
      <x:c r="V30" s="339"/>
      <x:c r="W30" s="339"/>
      <x:c r="X30" s="339"/>
      <x:c r="Y30" s="339"/>
      <x:c r="Z30" s="339"/>
    </x:row>
    <x:row r="31">
      <x:c r="A31" s="339"/>
      <x:c r="B31" s="339"/>
      <x:c r="C31" s="339"/>
      <x:c r="D31" s="339"/>
      <x:c r="E31" s="339"/>
      <x:c r="F31" s="339"/>
      <x:c r="G31" s="339"/>
      <x:c r="H31" s="339"/>
      <x:c r="I31" s="339"/>
      <x:c r="J31" s="339"/>
      <x:c r="K31" s="339"/>
      <x:c r="L31" s="339"/>
      <x:c r="M31" s="339"/>
      <x:c r="N31" s="339"/>
      <x:c r="O31" s="339"/>
      <x:c r="P31" s="339"/>
      <x:c r="Q31" s="339"/>
      <x:c r="R31" s="339"/>
      <x:c r="S31" s="339"/>
      <x:c r="T31" s="339"/>
      <x:c r="U31" s="339"/>
      <x:c r="V31" s="339"/>
      <x:c r="W31" s="339"/>
      <x:c r="X31" s="339"/>
      <x:c r="Y31" s="339"/>
      <x:c r="Z31" s="339"/>
    </x:row>
    <x:row r="32">
      <x:c r="A32" s="339"/>
      <x:c r="B32" s="339"/>
      <x:c r="C32" s="339"/>
      <x:c r="D32" s="339"/>
      <x:c r="E32" s="339"/>
      <x:c r="F32" s="339"/>
      <x:c r="G32" s="339"/>
      <x:c r="H32" s="339"/>
      <x:c r="I32" s="339"/>
      <x:c r="J32" s="339"/>
      <x:c r="K32" s="339"/>
      <x:c r="L32" s="339"/>
      <x:c r="M32" s="339"/>
      <x:c r="N32" s="339"/>
      <x:c r="O32" s="339"/>
      <x:c r="P32" s="339"/>
      <x:c r="Q32" s="339"/>
      <x:c r="R32" s="339"/>
      <x:c r="S32" s="339"/>
      <x:c r="T32" s="339"/>
      <x:c r="U32" s="339"/>
      <x:c r="V32" s="339"/>
      <x:c r="W32" s="339"/>
      <x:c r="X32" s="339"/>
      <x:c r="Y32" s="339"/>
      <x:c r="Z32" s="339"/>
    </x:row>
    <x:row r="33">
      <x:c r="A33" s="339"/>
      <x:c r="B33" s="339"/>
      <x:c r="C33" s="339"/>
      <x:c r="D33" s="339"/>
      <x:c r="E33" s="339"/>
      <x:c r="F33" s="339"/>
      <x:c r="G33" s="339"/>
      <x:c r="H33" s="339"/>
      <x:c r="I33" s="339"/>
      <x:c r="J33" s="339"/>
      <x:c r="K33" s="339"/>
      <x:c r="L33" s="339"/>
      <x:c r="M33" s="339"/>
      <x:c r="N33" s="339"/>
      <x:c r="O33" s="339"/>
      <x:c r="P33" s="339"/>
      <x:c r="Q33" s="339"/>
      <x:c r="R33" s="339"/>
      <x:c r="S33" s="339"/>
      <x:c r="T33" s="339"/>
      <x:c r="U33" s="339"/>
      <x:c r="V33" s="339"/>
      <x:c r="W33" s="339"/>
      <x:c r="X33" s="339"/>
      <x:c r="Y33" s="339"/>
      <x:c r="Z33" s="339"/>
    </x:row>
    <x:row r="34">
      <x:c r="A34" s="339"/>
      <x:c r="B34" s="339"/>
      <x:c r="C34" s="339"/>
      <x:c r="D34" s="339"/>
      <x:c r="E34" s="339"/>
      <x:c r="F34" s="339"/>
      <x:c r="G34" s="339"/>
      <x:c r="H34" s="339"/>
      <x:c r="I34" s="339"/>
      <x:c r="J34" s="339"/>
      <x:c r="K34" s="339"/>
      <x:c r="L34" s="339"/>
      <x:c r="M34" s="339"/>
      <x:c r="N34" s="339"/>
      <x:c r="O34" s="339"/>
      <x:c r="P34" s="339"/>
      <x:c r="Q34" s="339"/>
      <x:c r="R34" s="339"/>
      <x:c r="S34" s="339"/>
      <x:c r="T34" s="339"/>
      <x:c r="U34" s="339"/>
      <x:c r="V34" s="339"/>
      <x:c r="W34" s="339"/>
      <x:c r="X34" s="339"/>
      <x:c r="Y34" s="339"/>
      <x:c r="Z34" s="339"/>
    </x:row>
    <x:row r="35">
      <x:c r="A35" s="339"/>
      <x:c r="B35" s="339"/>
      <x:c r="C35" s="339"/>
      <x:c r="D35" s="339"/>
      <x:c r="E35" s="339"/>
      <x:c r="F35" s="339"/>
      <x:c r="G35" s="339"/>
      <x:c r="H35" s="339"/>
      <x:c r="I35" s="339"/>
      <x:c r="J35" s="339"/>
      <x:c r="K35" s="339"/>
      <x:c r="L35" s="339"/>
      <x:c r="M35" s="339"/>
      <x:c r="N35" s="339"/>
      <x:c r="O35" s="339"/>
      <x:c r="P35" s="339"/>
      <x:c r="Q35" s="339"/>
      <x:c r="R35" s="339"/>
      <x:c r="S35" s="339"/>
      <x:c r="T35" s="339"/>
      <x:c r="U35" s="339"/>
      <x:c r="V35" s="339"/>
      <x:c r="W35" s="339"/>
      <x:c r="X35" s="339"/>
      <x:c r="Y35" s="339"/>
      <x:c r="Z35" s="339"/>
    </x:row>
    <x:row r="36">
      <x:c r="A36" s="339"/>
      <x:c r="B36" s="339"/>
      <x:c r="C36" s="339"/>
      <x:c r="D36" s="339"/>
      <x:c r="E36" s="339"/>
      <x:c r="F36" s="339"/>
      <x:c r="G36" s="339"/>
      <x:c r="H36" s="339"/>
      <x:c r="I36" s="339"/>
      <x:c r="J36" s="339"/>
      <x:c r="K36" s="339"/>
      <x:c r="L36" s="339"/>
      <x:c r="M36" s="339"/>
      <x:c r="N36" s="339"/>
      <x:c r="O36" s="339"/>
      <x:c r="P36" s="339"/>
      <x:c r="Q36" s="339"/>
      <x:c r="R36" s="339"/>
      <x:c r="S36" s="339"/>
      <x:c r="T36" s="339"/>
      <x:c r="U36" s="339"/>
      <x:c r="V36" s="339"/>
      <x:c r="W36" s="339"/>
      <x:c r="X36" s="339"/>
      <x:c r="Y36" s="339"/>
      <x:c r="Z36" s="339"/>
    </x:row>
    <x:row r="37">
      <x:c r="A37" s="339"/>
      <x:c r="B37" s="339"/>
      <x:c r="C37" s="339"/>
      <x:c r="D37" s="339"/>
      <x:c r="E37" s="339"/>
      <x:c r="F37" s="339"/>
      <x:c r="G37" s="339"/>
      <x:c r="H37" s="339"/>
      <x:c r="I37" s="339"/>
      <x:c r="J37" s="339"/>
      <x:c r="K37" s="339"/>
      <x:c r="L37" s="339"/>
      <x:c r="M37" s="339"/>
      <x:c r="N37" s="339"/>
      <x:c r="O37" s="339"/>
      <x:c r="P37" s="339"/>
      <x:c r="Q37" s="339"/>
      <x:c r="R37" s="339"/>
      <x:c r="S37" s="339"/>
      <x:c r="T37" s="339"/>
      <x:c r="U37" s="339"/>
      <x:c r="V37" s="339"/>
      <x:c r="W37" s="339"/>
      <x:c r="X37" s="339"/>
      <x:c r="Y37" s="339"/>
      <x:c r="Z37" s="339"/>
    </x:row>
    <x:row r="38">
      <x:c r="A38" s="339"/>
      <x:c r="B38" s="339"/>
      <x:c r="C38" s="339"/>
      <x:c r="D38" s="339"/>
      <x:c r="E38" s="339"/>
      <x:c r="F38" s="339"/>
      <x:c r="G38" s="339"/>
      <x:c r="H38" s="339"/>
      <x:c r="I38" s="339"/>
      <x:c r="J38" s="339"/>
      <x:c r="K38" s="339"/>
      <x:c r="L38" s="339"/>
      <x:c r="M38" s="339"/>
      <x:c r="N38" s="339"/>
      <x:c r="O38" s="339"/>
      <x:c r="P38" s="339"/>
      <x:c r="Q38" s="339"/>
      <x:c r="R38" s="339"/>
      <x:c r="S38" s="339"/>
      <x:c r="T38" s="339"/>
      <x:c r="U38" s="339"/>
      <x:c r="V38" s="339"/>
      <x:c r="W38" s="339"/>
      <x:c r="X38" s="339"/>
      <x:c r="Y38" s="339"/>
      <x:c r="Z38" s="339"/>
    </x:row>
    <x:row r="39">
      <x:c r="A39" s="339"/>
      <x:c r="B39" s="339"/>
      <x:c r="C39" s="339"/>
      <x:c r="D39" s="339"/>
      <x:c r="E39" s="339"/>
      <x:c r="F39" s="339"/>
      <x:c r="G39" s="339"/>
      <x:c r="H39" s="339"/>
      <x:c r="I39" s="339"/>
      <x:c r="J39" s="339"/>
      <x:c r="K39" s="339"/>
      <x:c r="L39" s="339"/>
      <x:c r="M39" s="339"/>
      <x:c r="N39" s="339"/>
      <x:c r="O39" s="339"/>
      <x:c r="P39" s="339"/>
      <x:c r="Q39" s="339"/>
      <x:c r="R39" s="339"/>
      <x:c r="S39" s="339"/>
      <x:c r="T39" s="339"/>
      <x:c r="U39" s="339"/>
      <x:c r="V39" s="339"/>
      <x:c r="W39" s="339"/>
      <x:c r="X39" s="339"/>
      <x:c r="Y39" s="339"/>
      <x:c r="Z39" s="339"/>
    </x:row>
    <x:row r="40">
      <x:c r="A40" s="339"/>
      <x:c r="B40" s="339"/>
      <x:c r="C40" s="339"/>
      <x:c r="D40" s="339"/>
      <x:c r="E40" s="339"/>
      <x:c r="F40" s="339"/>
      <x:c r="G40" s="339"/>
      <x:c r="H40" s="339"/>
      <x:c r="I40" s="339"/>
      <x:c r="J40" s="339"/>
      <x:c r="K40" s="339"/>
      <x:c r="L40" s="339"/>
      <x:c r="M40" s="339"/>
      <x:c r="N40" s="339"/>
      <x:c r="O40" s="339"/>
      <x:c r="P40" s="339"/>
      <x:c r="Q40" s="339"/>
      <x:c r="R40" s="339"/>
      <x:c r="S40" s="339"/>
      <x:c r="T40" s="339"/>
      <x:c r="U40" s="339"/>
      <x:c r="V40" s="339"/>
      <x:c r="W40" s="339"/>
      <x:c r="X40" s="339"/>
      <x:c r="Y40" s="339"/>
      <x:c r="Z40" s="339"/>
    </x:row>
    <x:row r="41">
      <x:c r="A41" s="339"/>
      <x:c r="B41" s="339"/>
      <x:c r="C41" s="339"/>
      <x:c r="D41" s="339"/>
      <x:c r="E41" s="339"/>
      <x:c r="F41" s="339"/>
      <x:c r="G41" s="339"/>
      <x:c r="H41" s="339"/>
      <x:c r="I41" s="339"/>
      <x:c r="J41" s="339"/>
      <x:c r="K41" s="339"/>
      <x:c r="L41" s="339"/>
      <x:c r="M41" s="339"/>
      <x:c r="N41" s="339"/>
      <x:c r="O41" s="339"/>
      <x:c r="P41" s="339"/>
      <x:c r="Q41" s="339"/>
      <x:c r="R41" s="339"/>
      <x:c r="S41" s="339"/>
      <x:c r="T41" s="339"/>
      <x:c r="U41" s="339"/>
      <x:c r="V41" s="339"/>
      <x:c r="W41" s="339"/>
      <x:c r="X41" s="339"/>
      <x:c r="Y41" s="339"/>
      <x:c r="Z41" s="339"/>
    </x:row>
    <x:row r="42">
      <x:c r="A42" s="339"/>
      <x:c r="B42" s="339"/>
      <x:c r="C42" s="339"/>
      <x:c r="D42" s="339"/>
      <x:c r="E42" s="339"/>
      <x:c r="F42" s="339"/>
      <x:c r="G42" s="339"/>
      <x:c r="H42" s="339"/>
      <x:c r="I42" s="339"/>
      <x:c r="J42" s="339"/>
      <x:c r="K42" s="339"/>
      <x:c r="L42" s="339"/>
      <x:c r="M42" s="339"/>
      <x:c r="N42" s="339"/>
      <x:c r="O42" s="339"/>
      <x:c r="P42" s="339"/>
      <x:c r="Q42" s="339"/>
      <x:c r="R42" s="339"/>
      <x:c r="S42" s="339"/>
      <x:c r="T42" s="339"/>
      <x:c r="U42" s="339"/>
      <x:c r="V42" s="339"/>
      <x:c r="W42" s="339"/>
      <x:c r="X42" s="339"/>
      <x:c r="Y42" s="339"/>
      <x:c r="Z42" s="339"/>
    </x:row>
    <x:row r="43">
      <x:c r="A43" s="339"/>
      <x:c r="B43" s="339"/>
      <x:c r="C43" s="339"/>
      <x:c r="D43" s="339"/>
      <x:c r="E43" s="339"/>
      <x:c r="F43" s="339"/>
      <x:c r="G43" s="339"/>
      <x:c r="H43" s="339"/>
      <x:c r="I43" s="339"/>
      <x:c r="J43" s="339"/>
      <x:c r="K43" s="339"/>
      <x:c r="L43" s="339"/>
      <x:c r="M43" s="339"/>
      <x:c r="N43" s="339"/>
      <x:c r="O43" s="339"/>
      <x:c r="P43" s="339"/>
      <x:c r="Q43" s="339"/>
      <x:c r="R43" s="339"/>
      <x:c r="S43" s="339"/>
      <x:c r="T43" s="339"/>
      <x:c r="U43" s="339"/>
      <x:c r="V43" s="339"/>
      <x:c r="W43" s="339"/>
      <x:c r="X43" s="339"/>
      <x:c r="Y43" s="339"/>
      <x:c r="Z43" s="339"/>
    </x:row>
    <x:row r="44">
      <x:c r="A44" s="339"/>
      <x:c r="B44" s="339"/>
      <x:c r="C44" s="339"/>
      <x:c r="D44" s="339"/>
      <x:c r="E44" s="339"/>
      <x:c r="F44" s="339"/>
      <x:c r="G44" s="339"/>
      <x:c r="H44" s="339"/>
      <x:c r="I44" s="339"/>
      <x:c r="J44" s="339"/>
      <x:c r="K44" s="339"/>
      <x:c r="L44" s="339"/>
      <x:c r="M44" s="339"/>
      <x:c r="N44" s="339"/>
      <x:c r="O44" s="339"/>
      <x:c r="P44" s="339"/>
      <x:c r="Q44" s="339"/>
      <x:c r="R44" s="339"/>
      <x:c r="S44" s="339"/>
      <x:c r="T44" s="339"/>
      <x:c r="U44" s="339"/>
      <x:c r="V44" s="339"/>
      <x:c r="W44" s="339"/>
      <x:c r="X44" s="339"/>
      <x:c r="Y44" s="339"/>
      <x:c r="Z44" s="339"/>
    </x:row>
    <x:row r="45">
      <x:c r="A45" s="339"/>
      <x:c r="B45" s="339"/>
      <x:c r="C45" s="339"/>
      <x:c r="D45" s="339"/>
      <x:c r="E45" s="339"/>
      <x:c r="F45" s="339"/>
      <x:c r="G45" s="339"/>
      <x:c r="H45" s="339"/>
      <x:c r="I45" s="339"/>
      <x:c r="J45" s="339"/>
      <x:c r="K45" s="339"/>
      <x:c r="L45" s="339"/>
      <x:c r="M45" s="339"/>
      <x:c r="N45" s="339"/>
      <x:c r="O45" s="339"/>
      <x:c r="P45" s="339"/>
      <x:c r="Q45" s="339"/>
      <x:c r="R45" s="339"/>
      <x:c r="S45" s="339"/>
      <x:c r="T45" s="339"/>
      <x:c r="U45" s="339"/>
      <x:c r="V45" s="339"/>
      <x:c r="W45" s="339"/>
      <x:c r="X45" s="339"/>
      <x:c r="Y45" s="339"/>
      <x:c r="Z45" s="339"/>
    </x:row>
    <x:row r="46">
      <x:c r="A46" s="339"/>
      <x:c r="B46" s="339"/>
      <x:c r="C46" s="339"/>
      <x:c r="D46" s="339"/>
      <x:c r="E46" s="339"/>
      <x:c r="F46" s="339"/>
      <x:c r="G46" s="339"/>
      <x:c r="H46" s="339"/>
      <x:c r="I46" s="339"/>
      <x:c r="J46" s="339"/>
      <x:c r="K46" s="339"/>
      <x:c r="L46" s="339"/>
      <x:c r="M46" s="339"/>
      <x:c r="N46" s="339"/>
      <x:c r="O46" s="339"/>
      <x:c r="P46" s="339"/>
      <x:c r="Q46" s="339"/>
      <x:c r="R46" s="339"/>
      <x:c r="S46" s="339"/>
      <x:c r="T46" s="339"/>
      <x:c r="U46" s="339"/>
      <x:c r="V46" s="339"/>
      <x:c r="W46" s="339"/>
      <x:c r="X46" s="339"/>
      <x:c r="Y46" s="339"/>
      <x:c r="Z46" s="339"/>
    </x:row>
    <x:row r="47">
      <x:c r="A47" s="339"/>
      <x:c r="B47" s="339"/>
      <x:c r="C47" s="339"/>
      <x:c r="D47" s="339"/>
      <x:c r="E47" s="339"/>
      <x:c r="F47" s="339"/>
      <x:c r="G47" s="339"/>
      <x:c r="H47" s="339"/>
      <x:c r="I47" s="339"/>
      <x:c r="J47" s="339"/>
      <x:c r="K47" s="339"/>
      <x:c r="L47" s="339"/>
      <x:c r="M47" s="339"/>
      <x:c r="N47" s="339"/>
      <x:c r="O47" s="339"/>
      <x:c r="P47" s="339"/>
      <x:c r="Q47" s="339"/>
      <x:c r="R47" s="339"/>
      <x:c r="S47" s="339"/>
      <x:c r="T47" s="339"/>
      <x:c r="U47" s="339"/>
      <x:c r="V47" s="339"/>
      <x:c r="W47" s="339"/>
      <x:c r="X47" s="339"/>
      <x:c r="Y47" s="339"/>
      <x:c r="Z47" s="339"/>
    </x:row>
    <x:row r="48">
      <x:c r="A48" s="339"/>
      <x:c r="B48" s="339"/>
      <x:c r="C48" s="339"/>
      <x:c r="D48" s="339"/>
      <x:c r="E48" s="339"/>
      <x:c r="F48" s="339"/>
      <x:c r="G48" s="339"/>
      <x:c r="H48" s="339"/>
      <x:c r="I48" s="339"/>
      <x:c r="J48" s="339"/>
      <x:c r="K48" s="339"/>
      <x:c r="L48" s="339"/>
      <x:c r="M48" s="339"/>
      <x:c r="N48" s="339"/>
      <x:c r="O48" s="339"/>
      <x:c r="P48" s="339"/>
      <x:c r="Q48" s="339"/>
      <x:c r="R48" s="339"/>
      <x:c r="S48" s="339"/>
      <x:c r="T48" s="339"/>
      <x:c r="U48" s="339"/>
      <x:c r="V48" s="339"/>
      <x:c r="W48" s="339"/>
      <x:c r="X48" s="339"/>
      <x:c r="Y48" s="339"/>
      <x:c r="Z48" s="339"/>
    </x:row>
    <x:row r="49">
      <x:c r="A49" s="339"/>
      <x:c r="B49" s="339"/>
      <x:c r="C49" s="339"/>
      <x:c r="D49" s="339"/>
      <x:c r="E49" s="339"/>
      <x:c r="F49" s="339"/>
      <x:c r="G49" s="339"/>
      <x:c r="H49" s="339"/>
      <x:c r="I49" s="339"/>
      <x:c r="J49" s="339"/>
      <x:c r="K49" s="339"/>
      <x:c r="L49" s="339"/>
      <x:c r="M49" s="339"/>
      <x:c r="N49" s="339"/>
      <x:c r="O49" s="339"/>
      <x:c r="P49" s="339"/>
      <x:c r="Q49" s="339"/>
      <x:c r="R49" s="339"/>
      <x:c r="S49" s="339"/>
      <x:c r="T49" s="339"/>
      <x:c r="U49" s="339"/>
      <x:c r="V49" s="339"/>
      <x:c r="W49" s="339"/>
      <x:c r="X49" s="339"/>
      <x:c r="Y49" s="339"/>
      <x:c r="Z49" s="339"/>
    </x:row>
    <x:row r="50">
      <x:c r="A50" s="339"/>
      <x:c r="B50" s="339"/>
      <x:c r="C50" s="339"/>
      <x:c r="D50" s="339"/>
      <x:c r="E50" s="339"/>
      <x:c r="F50" s="339"/>
      <x:c r="G50" s="339"/>
      <x:c r="H50" s="339"/>
      <x:c r="I50" s="339"/>
      <x:c r="J50" s="339"/>
      <x:c r="K50" s="339"/>
      <x:c r="L50" s="339"/>
      <x:c r="M50" s="339"/>
      <x:c r="N50" s="339"/>
      <x:c r="O50" s="339"/>
      <x:c r="P50" s="339"/>
      <x:c r="Q50" s="339"/>
      <x:c r="R50" s="339"/>
      <x:c r="S50" s="339"/>
      <x:c r="T50" s="339"/>
      <x:c r="U50" s="339"/>
      <x:c r="V50" s="339"/>
      <x:c r="W50" s="339"/>
      <x:c r="X50" s="339"/>
      <x:c r="Y50" s="339"/>
      <x:c r="Z50" s="339"/>
    </x:row>
    <x:row r="51">
      <x:c r="A51" s="339"/>
      <x:c r="B51" s="339"/>
      <x:c r="C51" s="339"/>
      <x:c r="D51" s="339"/>
      <x:c r="E51" s="339"/>
      <x:c r="F51" s="339"/>
      <x:c r="G51" s="339"/>
      <x:c r="H51" s="339"/>
      <x:c r="I51" s="339"/>
      <x:c r="J51" s="339"/>
      <x:c r="K51" s="339"/>
      <x:c r="L51" s="339"/>
      <x:c r="M51" s="339"/>
      <x:c r="N51" s="339"/>
      <x:c r="O51" s="339"/>
      <x:c r="P51" s="339"/>
      <x:c r="Q51" s="339"/>
      <x:c r="R51" s="339"/>
      <x:c r="S51" s="339"/>
      <x:c r="T51" s="339"/>
      <x:c r="U51" s="339"/>
      <x:c r="V51" s="339"/>
      <x:c r="W51" s="339"/>
      <x:c r="X51" s="339"/>
      <x:c r="Y51" s="339"/>
      <x:c r="Z51" s="339"/>
    </x:row>
    <x:row r="52">
      <x:c r="A52" s="339"/>
      <x:c r="B52" s="339"/>
      <x:c r="C52" s="339"/>
      <x:c r="D52" s="339"/>
      <x:c r="E52" s="339"/>
      <x:c r="F52" s="339"/>
      <x:c r="G52" s="339"/>
      <x:c r="H52" s="339"/>
      <x:c r="I52" s="339"/>
      <x:c r="J52" s="339"/>
      <x:c r="K52" s="339"/>
      <x:c r="L52" s="339"/>
      <x:c r="M52" s="339"/>
      <x:c r="N52" s="339"/>
      <x:c r="O52" s="339"/>
      <x:c r="P52" s="339"/>
      <x:c r="Q52" s="339"/>
      <x:c r="R52" s="339"/>
      <x:c r="S52" s="339"/>
      <x:c r="T52" s="339"/>
      <x:c r="U52" s="339"/>
      <x:c r="V52" s="339"/>
      <x:c r="W52" s="339"/>
      <x:c r="X52" s="339"/>
      <x:c r="Y52" s="339"/>
      <x:c r="Z52" s="339"/>
    </x:row>
    <x:row r="53">
      <x:c r="A53" s="339"/>
      <x:c r="B53" s="339"/>
      <x:c r="C53" s="339"/>
      <x:c r="D53" s="339"/>
      <x:c r="E53" s="339"/>
      <x:c r="F53" s="339"/>
      <x:c r="G53" s="339"/>
      <x:c r="H53" s="339"/>
      <x:c r="I53" s="339"/>
      <x:c r="J53" s="339"/>
      <x:c r="K53" s="339"/>
      <x:c r="L53" s="339"/>
      <x:c r="M53" s="339"/>
      <x:c r="N53" s="339"/>
      <x:c r="O53" s="339"/>
      <x:c r="P53" s="339"/>
      <x:c r="Q53" s="339"/>
      <x:c r="R53" s="339"/>
      <x:c r="S53" s="339"/>
      <x:c r="T53" s="339"/>
      <x:c r="U53" s="339"/>
      <x:c r="V53" s="339"/>
      <x:c r="W53" s="339"/>
      <x:c r="X53" s="339"/>
      <x:c r="Y53" s="339"/>
      <x:c r="Z53" s="339"/>
    </x:row>
    <x:row r="54">
      <x:c r="A54" s="339"/>
      <x:c r="B54" s="339"/>
      <x:c r="C54" s="339"/>
      <x:c r="D54" s="339"/>
      <x:c r="E54" s="339"/>
      <x:c r="F54" s="339"/>
      <x:c r="G54" s="339"/>
      <x:c r="H54" s="339"/>
      <x:c r="I54" s="339"/>
      <x:c r="J54" s="339"/>
      <x:c r="K54" s="339"/>
      <x:c r="L54" s="339"/>
      <x:c r="M54" s="339"/>
      <x:c r="N54" s="339"/>
      <x:c r="O54" s="339"/>
      <x:c r="P54" s="339"/>
      <x:c r="Q54" s="339"/>
      <x:c r="R54" s="339"/>
      <x:c r="S54" s="339"/>
      <x:c r="T54" s="339"/>
      <x:c r="U54" s="339"/>
      <x:c r="V54" s="339"/>
      <x:c r="W54" s="339"/>
      <x:c r="X54" s="339"/>
      <x:c r="Y54" s="339"/>
      <x:c r="Z54" s="339"/>
    </x:row>
    <x:row r="55">
      <x:c r="A55" s="339"/>
      <x:c r="B55" s="339"/>
      <x:c r="C55" s="339"/>
      <x:c r="D55" s="339"/>
      <x:c r="E55" s="339"/>
      <x:c r="F55" s="339"/>
      <x:c r="G55" s="339"/>
      <x:c r="H55" s="339"/>
      <x:c r="I55" s="339"/>
      <x:c r="J55" s="339"/>
      <x:c r="K55" s="339"/>
      <x:c r="L55" s="339"/>
      <x:c r="M55" s="339"/>
      <x:c r="N55" s="339"/>
      <x:c r="O55" s="339"/>
      <x:c r="P55" s="339"/>
      <x:c r="Q55" s="339"/>
      <x:c r="R55" s="339"/>
      <x:c r="S55" s="339"/>
      <x:c r="T55" s="339"/>
      <x:c r="U55" s="339"/>
      <x:c r="V55" s="339"/>
      <x:c r="W55" s="339"/>
      <x:c r="X55" s="339"/>
      <x:c r="Y55" s="339"/>
      <x:c r="Z55" s="339"/>
    </x:row>
    <x:row r="56">
      <x:c r="A56" s="339"/>
      <x:c r="B56" s="339"/>
      <x:c r="C56" s="339"/>
      <x:c r="D56" s="339"/>
      <x:c r="E56" s="339"/>
      <x:c r="F56" s="339"/>
      <x:c r="G56" s="339"/>
      <x:c r="H56" s="339"/>
      <x:c r="I56" s="339"/>
      <x:c r="J56" s="339"/>
      <x:c r="K56" s="339"/>
      <x:c r="L56" s="339"/>
      <x:c r="M56" s="339"/>
      <x:c r="N56" s="339"/>
      <x:c r="O56" s="339"/>
      <x:c r="P56" s="339"/>
      <x:c r="Q56" s="339"/>
      <x:c r="R56" s="339"/>
      <x:c r="S56" s="339"/>
      <x:c r="T56" s="339"/>
      <x:c r="U56" s="339"/>
      <x:c r="V56" s="339"/>
      <x:c r="W56" s="339"/>
      <x:c r="X56" s="339"/>
      <x:c r="Y56" s="339"/>
      <x:c r="Z56" s="339"/>
    </x:row>
    <x:row r="57">
      <x:c r="A57" s="339"/>
      <x:c r="B57" s="339"/>
      <x:c r="C57" s="339"/>
      <x:c r="D57" s="339"/>
      <x:c r="E57" s="339"/>
      <x:c r="F57" s="339"/>
      <x:c r="G57" s="339"/>
      <x:c r="H57" s="339"/>
      <x:c r="I57" s="339"/>
      <x:c r="J57" s="339"/>
      <x:c r="K57" s="339"/>
      <x:c r="L57" s="339"/>
      <x:c r="M57" s="339"/>
      <x:c r="N57" s="339"/>
      <x:c r="O57" s="339"/>
      <x:c r="P57" s="339"/>
      <x:c r="Q57" s="339"/>
      <x:c r="R57" s="339"/>
      <x:c r="S57" s="339"/>
      <x:c r="T57" s="339"/>
      <x:c r="U57" s="339"/>
      <x:c r="V57" s="339"/>
      <x:c r="W57" s="339"/>
      <x:c r="X57" s="339"/>
      <x:c r="Y57" s="339"/>
      <x:c r="Z57" s="339"/>
    </x:row>
    <x:row r="58">
      <x:c r="A58" s="339"/>
      <x:c r="B58" s="339"/>
      <x:c r="C58" s="339"/>
      <x:c r="D58" s="339"/>
      <x:c r="E58" s="339"/>
      <x:c r="F58" s="339"/>
      <x:c r="G58" s="339"/>
      <x:c r="H58" s="339"/>
      <x:c r="I58" s="339"/>
      <x:c r="J58" s="339"/>
      <x:c r="K58" s="339"/>
      <x:c r="L58" s="339"/>
      <x:c r="M58" s="339"/>
      <x:c r="N58" s="339"/>
      <x:c r="O58" s="339"/>
      <x:c r="P58" s="339"/>
      <x:c r="Q58" s="339"/>
      <x:c r="R58" s="339"/>
      <x:c r="S58" s="339"/>
      <x:c r="T58" s="339"/>
      <x:c r="U58" s="339"/>
      <x:c r="V58" s="339"/>
      <x:c r="W58" s="339"/>
      <x:c r="X58" s="339"/>
      <x:c r="Y58" s="339"/>
      <x:c r="Z58" s="339"/>
    </x:row>
    <x:row r="59">
      <x:c r="A59" s="339"/>
      <x:c r="B59" s="339"/>
      <x:c r="C59" s="339"/>
      <x:c r="D59" s="339"/>
      <x:c r="E59" s="339"/>
      <x:c r="F59" s="339"/>
      <x:c r="G59" s="339"/>
      <x:c r="H59" s="339"/>
      <x:c r="I59" s="339"/>
      <x:c r="J59" s="339"/>
      <x:c r="K59" s="339"/>
      <x:c r="L59" s="339"/>
      <x:c r="M59" s="339"/>
      <x:c r="N59" s="339"/>
      <x:c r="O59" s="339"/>
      <x:c r="P59" s="339"/>
      <x:c r="Q59" s="339"/>
      <x:c r="R59" s="339"/>
      <x:c r="S59" s="339"/>
      <x:c r="T59" s="339"/>
      <x:c r="U59" s="339"/>
      <x:c r="V59" s="339"/>
      <x:c r="W59" s="339"/>
      <x:c r="X59" s="339"/>
      <x:c r="Y59" s="339"/>
      <x:c r="Z59" s="339"/>
    </x:row>
    <x:row r="60">
      <x:c r="A60" s="339"/>
      <x:c r="B60" s="339"/>
      <x:c r="C60" s="339"/>
      <x:c r="D60" s="339"/>
      <x:c r="E60" s="339"/>
      <x:c r="F60" s="339"/>
      <x:c r="G60" s="339"/>
      <x:c r="H60" s="339"/>
      <x:c r="I60" s="339"/>
      <x:c r="J60" s="339"/>
      <x:c r="K60" s="339"/>
      <x:c r="L60" s="339"/>
      <x:c r="M60" s="339"/>
      <x:c r="N60" s="339"/>
      <x:c r="O60" s="339"/>
      <x:c r="P60" s="339"/>
      <x:c r="Q60" s="339"/>
      <x:c r="R60" s="339"/>
      <x:c r="S60" s="339"/>
      <x:c r="T60" s="339"/>
      <x:c r="U60" s="339"/>
      <x:c r="V60" s="339"/>
      <x:c r="W60" s="339"/>
      <x:c r="X60" s="339"/>
      <x:c r="Y60" s="339"/>
      <x:c r="Z60" s="339"/>
    </x:row>
    <x:row r="61">
      <x:c r="A61" s="339"/>
      <x:c r="B61" s="339"/>
      <x:c r="C61" s="339"/>
      <x:c r="D61" s="339"/>
      <x:c r="E61" s="339"/>
      <x:c r="F61" s="339"/>
      <x:c r="G61" s="339"/>
      <x:c r="H61" s="339"/>
      <x:c r="I61" s="339"/>
      <x:c r="J61" s="339"/>
      <x:c r="K61" s="339"/>
      <x:c r="L61" s="339"/>
      <x:c r="M61" s="339"/>
      <x:c r="N61" s="339"/>
      <x:c r="O61" s="339"/>
      <x:c r="P61" s="339"/>
      <x:c r="Q61" s="339"/>
      <x:c r="R61" s="339"/>
      <x:c r="S61" s="339"/>
      <x:c r="T61" s="339"/>
      <x:c r="U61" s="339"/>
      <x:c r="V61" s="339"/>
      <x:c r="W61" s="339"/>
      <x:c r="X61" s="339"/>
      <x:c r="Y61" s="339"/>
      <x:c r="Z61" s="339"/>
    </x:row>
    <x:row r="62">
      <x:c r="A62" s="339"/>
      <x:c r="B62" s="339"/>
      <x:c r="C62" s="339"/>
      <x:c r="D62" s="339"/>
      <x:c r="E62" s="339"/>
      <x:c r="F62" s="339"/>
      <x:c r="G62" s="339"/>
      <x:c r="H62" s="339"/>
      <x:c r="I62" s="339"/>
      <x:c r="J62" s="339"/>
      <x:c r="K62" s="339"/>
      <x:c r="L62" s="339"/>
      <x:c r="M62" s="339"/>
      <x:c r="N62" s="339"/>
      <x:c r="O62" s="339"/>
      <x:c r="P62" s="339"/>
      <x:c r="Q62" s="339"/>
      <x:c r="R62" s="339"/>
      <x:c r="S62" s="339"/>
      <x:c r="T62" s="339"/>
      <x:c r="U62" s="339"/>
      <x:c r="V62" s="339"/>
      <x:c r="W62" s="339"/>
      <x:c r="X62" s="339"/>
      <x:c r="Y62" s="339"/>
      <x:c r="Z62" s="339"/>
    </x:row>
    <x:row r="63">
      <x:c r="A63" s="339"/>
      <x:c r="B63" s="339"/>
      <x:c r="C63" s="339"/>
      <x:c r="D63" s="339"/>
      <x:c r="E63" s="339"/>
      <x:c r="F63" s="339"/>
      <x:c r="G63" s="339"/>
      <x:c r="H63" s="339"/>
      <x:c r="I63" s="339"/>
      <x:c r="J63" s="339"/>
      <x:c r="K63" s="339"/>
      <x:c r="L63" s="339"/>
      <x:c r="M63" s="339"/>
      <x:c r="N63" s="339"/>
      <x:c r="O63" s="339"/>
      <x:c r="P63" s="339"/>
      <x:c r="Q63" s="339"/>
      <x:c r="R63" s="339"/>
      <x:c r="S63" s="339"/>
      <x:c r="T63" s="339"/>
      <x:c r="U63" s="339"/>
      <x:c r="V63" s="339"/>
      <x:c r="W63" s="339"/>
      <x:c r="X63" s="339"/>
      <x:c r="Y63" s="339"/>
      <x:c r="Z63" s="339"/>
    </x:row>
    <x:row r="64">
      <x:c r="A64" s="339"/>
      <x:c r="B64" s="339"/>
      <x:c r="C64" s="339"/>
      <x:c r="D64" s="339"/>
      <x:c r="E64" s="339"/>
      <x:c r="F64" s="339"/>
      <x:c r="G64" s="339"/>
      <x:c r="H64" s="339"/>
      <x:c r="I64" s="339"/>
      <x:c r="J64" s="339"/>
      <x:c r="K64" s="339"/>
      <x:c r="L64" s="339"/>
      <x:c r="M64" s="339"/>
      <x:c r="N64" s="339"/>
      <x:c r="O64" s="339"/>
      <x:c r="P64" s="339"/>
      <x:c r="Q64" s="339"/>
      <x:c r="R64" s="339"/>
      <x:c r="S64" s="339"/>
      <x:c r="T64" s="339"/>
      <x:c r="U64" s="339"/>
      <x:c r="V64" s="339"/>
      <x:c r="W64" s="339"/>
      <x:c r="X64" s="339"/>
      <x:c r="Y64" s="339"/>
      <x:c r="Z64" s="339"/>
    </x:row>
    <x:row r="65">
      <x:c r="A65" s="339"/>
      <x:c r="B65" s="339"/>
      <x:c r="C65" s="339"/>
      <x:c r="D65" s="339"/>
      <x:c r="E65" s="339"/>
      <x:c r="F65" s="339"/>
      <x:c r="G65" s="339"/>
      <x:c r="H65" s="339"/>
      <x:c r="I65" s="339"/>
      <x:c r="J65" s="339"/>
      <x:c r="K65" s="339"/>
      <x:c r="L65" s="339"/>
      <x:c r="M65" s="339"/>
      <x:c r="N65" s="339"/>
      <x:c r="O65" s="339"/>
      <x:c r="P65" s="339"/>
      <x:c r="Q65" s="339"/>
      <x:c r="R65" s="339"/>
      <x:c r="S65" s="339"/>
      <x:c r="T65" s="339"/>
      <x:c r="U65" s="339"/>
      <x:c r="V65" s="339"/>
      <x:c r="W65" s="339"/>
      <x:c r="X65" s="339"/>
      <x:c r="Y65" s="339"/>
      <x:c r="Z65" s="339"/>
    </x:row>
    <x:row r="66">
      <x:c r="A66" s="339"/>
      <x:c r="B66" s="339"/>
      <x:c r="C66" s="339"/>
      <x:c r="D66" s="339"/>
      <x:c r="E66" s="339"/>
      <x:c r="F66" s="339"/>
      <x:c r="G66" s="339"/>
      <x:c r="H66" s="339"/>
      <x:c r="I66" s="339"/>
      <x:c r="J66" s="339"/>
      <x:c r="K66" s="339"/>
      <x:c r="L66" s="339"/>
      <x:c r="M66" s="339"/>
      <x:c r="N66" s="339"/>
      <x:c r="O66" s="339"/>
      <x:c r="P66" s="339"/>
      <x:c r="Q66" s="339"/>
      <x:c r="R66" s="339"/>
      <x:c r="S66" s="339"/>
      <x:c r="T66" s="339"/>
      <x:c r="U66" s="339"/>
      <x:c r="V66" s="339"/>
      <x:c r="W66" s="339"/>
      <x:c r="X66" s="339"/>
      <x:c r="Y66" s="339"/>
      <x:c r="Z66" s="339"/>
    </x:row>
    <x:row r="67">
      <x:c r="A67" s="339"/>
      <x:c r="B67" s="339"/>
      <x:c r="C67" s="339"/>
      <x:c r="D67" s="339"/>
      <x:c r="E67" s="339"/>
      <x:c r="F67" s="339"/>
      <x:c r="G67" s="339"/>
      <x:c r="H67" s="339"/>
      <x:c r="I67" s="339"/>
      <x:c r="J67" s="339"/>
      <x:c r="K67" s="339"/>
      <x:c r="L67" s="339"/>
      <x:c r="M67" s="339"/>
      <x:c r="N67" s="339"/>
      <x:c r="O67" s="339"/>
      <x:c r="P67" s="339"/>
      <x:c r="Q67" s="339"/>
      <x:c r="R67" s="339"/>
      <x:c r="S67" s="339"/>
      <x:c r="T67" s="339"/>
      <x:c r="U67" s="339"/>
      <x:c r="V67" s="339"/>
      <x:c r="W67" s="339"/>
      <x:c r="X67" s="339"/>
      <x:c r="Y67" s="339"/>
      <x:c r="Z67" s="339"/>
    </x:row>
    <x:row r="68">
      <x:c r="A68" s="339"/>
      <x:c r="B68" s="339"/>
      <x:c r="C68" s="339"/>
      <x:c r="D68" s="339"/>
      <x:c r="E68" s="339"/>
      <x:c r="F68" s="339"/>
      <x:c r="G68" s="339"/>
      <x:c r="H68" s="339"/>
      <x:c r="I68" s="339"/>
      <x:c r="J68" s="339"/>
      <x:c r="K68" s="339"/>
      <x:c r="L68" s="339"/>
      <x:c r="M68" s="339"/>
      <x:c r="N68" s="339"/>
      <x:c r="O68" s="339"/>
      <x:c r="P68" s="339"/>
      <x:c r="Q68" s="339"/>
      <x:c r="R68" s="339"/>
      <x:c r="S68" s="339"/>
      <x:c r="T68" s="339"/>
      <x:c r="U68" s="339"/>
      <x:c r="V68" s="339"/>
      <x:c r="W68" s="339"/>
      <x:c r="X68" s="339"/>
      <x:c r="Y68" s="339"/>
      <x:c r="Z68" s="339"/>
    </x:row>
    <x:row r="69">
      <x:c r="A69" s="339"/>
      <x:c r="B69" s="339"/>
      <x:c r="C69" s="339"/>
      <x:c r="D69" s="339"/>
      <x:c r="E69" s="339"/>
      <x:c r="F69" s="339"/>
      <x:c r="G69" s="339"/>
      <x:c r="H69" s="339"/>
      <x:c r="I69" s="339"/>
      <x:c r="J69" s="339"/>
      <x:c r="K69" s="339"/>
      <x:c r="L69" s="339"/>
      <x:c r="M69" s="339"/>
      <x:c r="N69" s="339"/>
      <x:c r="O69" s="339"/>
      <x:c r="P69" s="339"/>
      <x:c r="Q69" s="339"/>
      <x:c r="R69" s="339"/>
      <x:c r="S69" s="339"/>
      <x:c r="T69" s="339"/>
      <x:c r="U69" s="339"/>
      <x:c r="V69" s="339"/>
      <x:c r="W69" s="339"/>
      <x:c r="X69" s="339"/>
      <x:c r="Y69" s="339"/>
      <x:c r="Z69" s="339"/>
    </x:row>
    <x:row r="70">
      <x:c r="A70" s="339"/>
      <x:c r="B70" s="339"/>
      <x:c r="C70" s="339"/>
      <x:c r="D70" s="339"/>
      <x:c r="E70" s="339"/>
      <x:c r="F70" s="339"/>
      <x:c r="G70" s="339"/>
      <x:c r="H70" s="339"/>
      <x:c r="I70" s="339"/>
      <x:c r="J70" s="339"/>
      <x:c r="K70" s="339"/>
      <x:c r="L70" s="339"/>
      <x:c r="M70" s="339"/>
      <x:c r="N70" s="339"/>
      <x:c r="O70" s="339"/>
      <x:c r="P70" s="339"/>
      <x:c r="Q70" s="339"/>
      <x:c r="R70" s="339"/>
      <x:c r="S70" s="339"/>
      <x:c r="T70" s="339"/>
      <x:c r="U70" s="339"/>
      <x:c r="V70" s="339"/>
      <x:c r="W70" s="339"/>
      <x:c r="X70" s="339"/>
      <x:c r="Y70" s="339"/>
      <x:c r="Z70" s="339"/>
    </x:row>
    <x:row r="71">
      <x:c r="A71" s="339"/>
      <x:c r="B71" s="339"/>
      <x:c r="C71" s="339"/>
      <x:c r="D71" s="339"/>
      <x:c r="E71" s="339"/>
      <x:c r="F71" s="339"/>
      <x:c r="G71" s="339"/>
      <x:c r="H71" s="339"/>
      <x:c r="I71" s="339"/>
      <x:c r="J71" s="339"/>
      <x:c r="K71" s="339"/>
      <x:c r="L71" s="339"/>
      <x:c r="M71" s="339"/>
      <x:c r="N71" s="339"/>
      <x:c r="O71" s="339"/>
      <x:c r="P71" s="339"/>
      <x:c r="Q71" s="339"/>
      <x:c r="R71" s="339"/>
      <x:c r="S71" s="339"/>
      <x:c r="T71" s="339"/>
      <x:c r="U71" s="339"/>
      <x:c r="V71" s="339"/>
      <x:c r="W71" s="339"/>
      <x:c r="X71" s="339"/>
      <x:c r="Y71" s="339"/>
      <x:c r="Z71" s="339"/>
    </x:row>
    <x:row r="72">
      <x:c r="A72" s="339"/>
      <x:c r="B72" s="339"/>
      <x:c r="C72" s="339"/>
      <x:c r="D72" s="339"/>
      <x:c r="E72" s="339"/>
      <x:c r="F72" s="339"/>
      <x:c r="G72" s="339"/>
      <x:c r="H72" s="339"/>
      <x:c r="I72" s="339"/>
      <x:c r="J72" s="339"/>
      <x:c r="K72" s="339"/>
      <x:c r="L72" s="339"/>
      <x:c r="M72" s="339"/>
      <x:c r="N72" s="339"/>
      <x:c r="O72" s="339"/>
      <x:c r="P72" s="339"/>
      <x:c r="Q72" s="339"/>
      <x:c r="R72" s="339"/>
      <x:c r="S72" s="339"/>
      <x:c r="T72" s="339"/>
      <x:c r="U72" s="339"/>
      <x:c r="V72" s="339"/>
      <x:c r="W72" s="339"/>
      <x:c r="X72" s="339"/>
      <x:c r="Y72" s="339"/>
      <x:c r="Z72" s="339"/>
    </x:row>
    <x:row r="73">
      <x:c r="A73" s="339"/>
      <x:c r="B73" s="339"/>
      <x:c r="C73" s="339"/>
      <x:c r="D73" s="339"/>
      <x:c r="E73" s="339"/>
      <x:c r="F73" s="339"/>
      <x:c r="G73" s="339"/>
      <x:c r="H73" s="339"/>
      <x:c r="I73" s="339"/>
      <x:c r="J73" s="339"/>
      <x:c r="K73" s="339"/>
      <x:c r="L73" s="339"/>
      <x:c r="M73" s="339"/>
      <x:c r="N73" s="339"/>
      <x:c r="O73" s="339"/>
      <x:c r="P73" s="339"/>
      <x:c r="Q73" s="339"/>
      <x:c r="R73" s="339"/>
      <x:c r="S73" s="339"/>
      <x:c r="T73" s="339"/>
      <x:c r="U73" s="339"/>
      <x:c r="V73" s="339"/>
      <x:c r="W73" s="339"/>
      <x:c r="X73" s="339"/>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339"/>
      <x:c r="V74" s="339"/>
      <x:c r="W74" s="339"/>
      <x:c r="X74" s="339"/>
      <x:c r="Y74" s="339"/>
      <x:c r="Z74" s="339"/>
    </x:row>
    <x:row r="75">
      <x:c r="A75" s="339"/>
      <x:c r="B75" s="339"/>
      <x:c r="C75" s="339"/>
      <x:c r="D75" s="339"/>
      <x:c r="E75" s="339"/>
      <x:c r="F75" s="339"/>
      <x:c r="G75" s="339"/>
      <x:c r="H75" s="339"/>
      <x:c r="I75" s="339"/>
      <x:c r="J75" s="339"/>
      <x:c r="K75" s="339"/>
      <x:c r="L75" s="339"/>
      <x:c r="M75" s="339"/>
      <x:c r="N75" s="339"/>
      <x:c r="O75" s="339"/>
      <x:c r="P75" s="339"/>
      <x:c r="Q75" s="339"/>
      <x:c r="R75" s="339"/>
      <x:c r="S75" s="339"/>
      <x:c r="T75" s="339"/>
      <x:c r="U75" s="339"/>
      <x:c r="V75" s="339"/>
      <x:c r="W75" s="339"/>
      <x:c r="X75" s="339"/>
      <x:c r="Y75" s="339"/>
      <x:c r="Z75" s="339"/>
    </x:row>
    <x:row r="76">
      <x:c r="A76" s="339"/>
      <x:c r="B76" s="339"/>
      <x:c r="C76" s="339"/>
      <x:c r="D76" s="339"/>
      <x:c r="E76" s="339"/>
      <x:c r="F76" s="339"/>
      <x:c r="G76" s="339"/>
      <x:c r="H76" s="339"/>
      <x:c r="I76" s="339"/>
      <x:c r="J76" s="339"/>
      <x:c r="K76" s="339"/>
      <x:c r="L76" s="339"/>
      <x:c r="M76" s="339"/>
      <x:c r="N76" s="339"/>
      <x:c r="O76" s="339"/>
      <x:c r="P76" s="339"/>
      <x:c r="Q76" s="339"/>
      <x:c r="R76" s="339"/>
      <x:c r="S76" s="339"/>
      <x:c r="T76" s="339"/>
      <x:c r="U76" s="339"/>
      <x:c r="V76" s="339"/>
      <x:c r="W76" s="339"/>
      <x:c r="X76" s="339"/>
      <x:c r="Y76" s="339"/>
      <x:c r="Z76" s="339"/>
    </x:row>
    <x:row r="77">
      <x:c r="A77" s="339"/>
      <x:c r="B77" s="339"/>
      <x:c r="C77" s="339"/>
      <x:c r="D77" s="339"/>
      <x:c r="E77" s="339"/>
      <x:c r="F77" s="339"/>
      <x:c r="G77" s="339"/>
      <x:c r="H77" s="339"/>
      <x:c r="I77" s="339"/>
      <x:c r="J77" s="339"/>
      <x:c r="K77" s="339"/>
      <x:c r="L77" s="339"/>
      <x:c r="M77" s="339"/>
      <x:c r="N77" s="339"/>
      <x:c r="O77" s="339"/>
      <x:c r="P77" s="339"/>
      <x:c r="Q77" s="339"/>
      <x:c r="R77" s="339"/>
      <x:c r="S77" s="339"/>
      <x:c r="T77" s="339"/>
      <x:c r="U77" s="339"/>
      <x:c r="V77" s="339"/>
      <x:c r="W77" s="339"/>
      <x:c r="X77" s="339"/>
      <x:c r="Y77" s="339"/>
      <x:c r="Z77" s="339"/>
    </x:row>
    <x:row r="78">
      <x:c r="A78" s="339"/>
      <x:c r="B78" s="339"/>
      <x:c r="C78" s="339"/>
      <x:c r="D78" s="339"/>
      <x:c r="E78" s="339"/>
      <x:c r="F78" s="339"/>
      <x:c r="G78" s="339"/>
      <x:c r="H78" s="339"/>
      <x:c r="I78" s="339"/>
      <x:c r="J78" s="339"/>
      <x:c r="K78" s="339"/>
      <x:c r="L78" s="339"/>
      <x:c r="M78" s="339"/>
      <x:c r="N78" s="339"/>
      <x:c r="O78" s="339"/>
      <x:c r="P78" s="339"/>
      <x:c r="Q78" s="339"/>
      <x:c r="R78" s="339"/>
      <x:c r="S78" s="339"/>
      <x:c r="T78" s="339"/>
      <x:c r="U78" s="339"/>
      <x:c r="V78" s="339"/>
      <x:c r="W78" s="339"/>
      <x:c r="X78" s="339"/>
      <x:c r="Y78" s="339"/>
      <x:c r="Z78" s="339"/>
    </x:row>
    <x:row r="79">
      <x:c r="A79" s="339"/>
      <x:c r="B79" s="339"/>
      <x:c r="C79" s="339"/>
      <x:c r="D79" s="339"/>
      <x:c r="E79" s="339"/>
      <x:c r="F79" s="339"/>
      <x:c r="G79" s="339"/>
      <x:c r="H79" s="339"/>
      <x:c r="I79" s="339"/>
      <x:c r="J79" s="339"/>
      <x:c r="K79" s="339"/>
      <x:c r="L79" s="339"/>
      <x:c r="M79" s="339"/>
      <x:c r="N79" s="339"/>
      <x:c r="O79" s="339"/>
      <x:c r="P79" s="339"/>
      <x:c r="Q79" s="339"/>
      <x:c r="R79" s="339"/>
      <x:c r="S79" s="339"/>
      <x:c r="T79" s="339"/>
      <x:c r="U79" s="339"/>
      <x:c r="V79" s="339"/>
      <x:c r="W79" s="339"/>
      <x:c r="X79" s="339"/>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339"/>
      <x:c r="V80" s="339"/>
      <x:c r="W80" s="339"/>
      <x:c r="X80" s="339"/>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339"/>
      <x:c r="V81" s="339"/>
      <x:c r="W81" s="339"/>
      <x:c r="X81" s="339"/>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339"/>
      <x:c r="V82" s="339"/>
      <x:c r="W82" s="339"/>
      <x:c r="X82" s="339"/>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339"/>
      <x:c r="V83" s="339"/>
      <x:c r="W83" s="339"/>
      <x:c r="X83" s="339"/>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339"/>
      <x:c r="V84" s="339"/>
      <x:c r="W84" s="339"/>
      <x:c r="X84" s="339"/>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339"/>
      <x:c r="V85" s="339"/>
      <x:c r="W85" s="339"/>
      <x:c r="X85" s="339"/>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339"/>
      <x:c r="V86" s="339"/>
      <x:c r="W86" s="339"/>
      <x:c r="X86" s="339"/>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339"/>
      <x:c r="V87" s="339"/>
      <x:c r="W87" s="339"/>
      <x:c r="X87" s="339"/>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339"/>
      <x:c r="V88" s="339"/>
      <x:c r="W88" s="339"/>
      <x:c r="X88" s="339"/>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339"/>
      <x:c r="V89" s="339"/>
      <x:c r="W89" s="339"/>
      <x:c r="X89" s="339"/>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339"/>
      <x:c r="V90" s="339"/>
      <x:c r="W90" s="339"/>
      <x:c r="X90" s="339"/>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339"/>
      <x:c r="V91" s="339"/>
      <x:c r="W91" s="339"/>
      <x:c r="X91" s="339"/>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339"/>
      <x:c r="V92" s="339"/>
      <x:c r="W92" s="339"/>
      <x:c r="X92" s="339"/>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339"/>
      <x:c r="V93" s="339"/>
      <x:c r="W93" s="339"/>
      <x:c r="X93" s="339"/>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339"/>
      <x:c r="V94" s="339"/>
      <x:c r="W94" s="339"/>
      <x:c r="X94" s="339"/>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339"/>
      <x:c r="V95" s="339"/>
      <x:c r="W95" s="339"/>
      <x:c r="X95" s="339"/>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339"/>
      <x:c r="V96" s="339"/>
      <x:c r="W96" s="339"/>
      <x:c r="X96" s="339"/>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339"/>
      <x:c r="V97" s="339"/>
      <x:c r="W97" s="339"/>
      <x:c r="X97" s="339"/>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339"/>
      <x:c r="V98" s="339"/>
      <x:c r="W98" s="339"/>
      <x:c r="X98" s="339"/>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339"/>
      <x:c r="V99" s="339"/>
      <x:c r="W99" s="339"/>
      <x:c r="X99" s="339"/>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339"/>
      <x:c r="V100" s="339"/>
      <x:c r="W100" s="339"/>
      <x:c r="X100" s="339"/>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339"/>
      <x:c r="V101" s="339"/>
      <x:c r="W101" s="339"/>
      <x:c r="X101" s="339"/>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339"/>
      <x:c r="V102" s="339"/>
      <x:c r="W102" s="339"/>
      <x:c r="X102" s="339"/>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339"/>
      <x:c r="V103" s="339"/>
      <x:c r="W103" s="339"/>
      <x:c r="X103" s="339"/>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339"/>
      <x:c r="V104" s="339"/>
      <x:c r="W104" s="339"/>
      <x:c r="X104" s="339"/>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339"/>
      <x:c r="V105" s="339"/>
      <x:c r="W105" s="339"/>
      <x:c r="X105" s="339"/>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339"/>
      <x:c r="V106" s="339"/>
      <x:c r="W106" s="339"/>
      <x:c r="X106" s="339"/>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339"/>
      <x:c r="V107" s="339"/>
      <x:c r="W107" s="339"/>
      <x:c r="X107" s="339"/>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339"/>
      <x:c r="V108" s="339"/>
      <x:c r="W108" s="339"/>
      <x:c r="X108" s="339"/>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339"/>
      <x:c r="V109" s="339"/>
      <x:c r="W109" s="339"/>
      <x:c r="X109" s="339"/>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339"/>
      <x:c r="V110" s="339"/>
      <x:c r="W110" s="339"/>
      <x:c r="X110" s="339"/>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339"/>
      <x:c r="V111" s="339"/>
      <x:c r="W111" s="339"/>
      <x:c r="X111" s="339"/>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339"/>
      <x:c r="V112" s="339"/>
      <x:c r="W112" s="339"/>
      <x:c r="X112" s="339"/>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339"/>
      <x:c r="V113" s="339"/>
      <x:c r="W113" s="339"/>
      <x:c r="X113" s="339"/>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339"/>
      <x:c r="V114" s="339"/>
      <x:c r="W114" s="339"/>
      <x:c r="X114" s="339"/>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339"/>
      <x:c r="V115" s="339"/>
      <x:c r="W115" s="339"/>
      <x:c r="X115" s="339"/>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339"/>
      <x:c r="V116" s="339"/>
      <x:c r="W116" s="339"/>
      <x:c r="X116" s="339"/>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339"/>
      <x:c r="V117" s="339"/>
      <x:c r="W117" s="339"/>
      <x:c r="X117" s="339"/>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339"/>
      <x:c r="V118" s="339"/>
      <x:c r="W118" s="339"/>
      <x:c r="X118" s="339"/>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339"/>
      <x:c r="V119" s="339"/>
      <x:c r="W119" s="339"/>
      <x:c r="X119" s="339"/>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339"/>
      <x:c r="V120" s="339"/>
      <x:c r="W120" s="339"/>
      <x:c r="X120" s="339"/>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339"/>
      <x:c r="V121" s="339"/>
      <x:c r="W121" s="339"/>
      <x:c r="X121" s="339"/>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339"/>
      <x:c r="V122" s="339"/>
      <x:c r="W122" s="339"/>
      <x:c r="X122" s="339"/>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339"/>
      <x:c r="V123" s="339"/>
      <x:c r="W123" s="339"/>
      <x:c r="X123" s="339"/>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339"/>
      <x:c r="V124" s="339"/>
      <x:c r="W124" s="339"/>
      <x:c r="X124" s="339"/>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339"/>
      <x:c r="V125" s="339"/>
      <x:c r="W125" s="339"/>
      <x:c r="X125" s="339"/>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339"/>
      <x:c r="V126" s="339"/>
      <x:c r="W126" s="339"/>
      <x:c r="X126" s="339"/>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339"/>
      <x:c r="V127" s="339"/>
      <x:c r="W127" s="339"/>
      <x:c r="X127" s="339"/>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339"/>
      <x:c r="V128" s="339"/>
      <x:c r="W128" s="339"/>
      <x:c r="X128" s="339"/>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339"/>
      <x:c r="V129" s="339"/>
      <x:c r="W129" s="339"/>
      <x:c r="X129" s="339"/>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339"/>
      <x:c r="V130" s="339"/>
      <x:c r="W130" s="339"/>
      <x:c r="X130" s="339"/>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339"/>
      <x:c r="V131" s="339"/>
      <x:c r="W131" s="339"/>
      <x:c r="X131" s="339"/>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339"/>
      <x:c r="V132" s="339"/>
      <x:c r="W132" s="339"/>
      <x:c r="X132" s="339"/>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339"/>
      <x:c r="V133" s="339"/>
      <x:c r="W133" s="339"/>
      <x:c r="X133" s="339"/>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339"/>
      <x:c r="V134" s="339"/>
      <x:c r="W134" s="339"/>
      <x:c r="X134" s="339"/>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339"/>
      <x:c r="V135" s="339"/>
      <x:c r="W135" s="339"/>
      <x:c r="X135" s="339"/>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339"/>
      <x:c r="V136" s="339"/>
      <x:c r="W136" s="339"/>
      <x:c r="X136" s="339"/>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339"/>
      <x:c r="V137" s="339"/>
      <x:c r="W137" s="339"/>
      <x:c r="X137" s="339"/>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339"/>
      <x:c r="V138" s="339"/>
      <x:c r="W138" s="339"/>
      <x:c r="X138" s="339"/>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339"/>
      <x:c r="V139" s="339"/>
      <x:c r="W139" s="339"/>
      <x:c r="X139" s="339"/>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339"/>
      <x:c r="V140" s="339"/>
      <x:c r="W140" s="339"/>
      <x:c r="X140" s="339"/>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339"/>
      <x:c r="V141" s="339"/>
      <x:c r="W141" s="339"/>
      <x:c r="X141" s="339"/>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339"/>
      <x:c r="V142" s="339"/>
      <x:c r="W142" s="339"/>
      <x:c r="X142" s="339"/>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339"/>
      <x:c r="V143" s="339"/>
      <x:c r="W143" s="339"/>
      <x:c r="X143" s="339"/>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339"/>
      <x:c r="V144" s="339"/>
      <x:c r="W144" s="339"/>
      <x:c r="X144" s="339"/>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339"/>
      <x:c r="V145" s="339"/>
      <x:c r="W145" s="339"/>
      <x:c r="X145" s="339"/>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339"/>
      <x:c r="V146" s="339"/>
      <x:c r="W146" s="339"/>
      <x:c r="X146" s="339"/>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339"/>
      <x:c r="V147" s="339"/>
      <x:c r="W147" s="339"/>
      <x:c r="X147" s="339"/>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339"/>
      <x:c r="V148" s="339"/>
      <x:c r="W148" s="339"/>
      <x:c r="X148" s="339"/>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339"/>
      <x:c r="V149" s="339"/>
      <x:c r="W149" s="339"/>
      <x:c r="X149" s="339"/>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339"/>
      <x:c r="V150" s="339"/>
      <x:c r="W150" s="339"/>
      <x:c r="X150" s="339"/>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339"/>
      <x:c r="V151" s="339"/>
      <x:c r="W151" s="339"/>
      <x:c r="X151" s="339"/>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339"/>
      <x:c r="V152" s="339"/>
      <x:c r="W152" s="339"/>
      <x:c r="X152" s="339"/>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339"/>
      <x:c r="V153" s="339"/>
      <x:c r="W153" s="339"/>
      <x:c r="X153" s="339"/>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339"/>
      <x:c r="V154" s="339"/>
      <x:c r="W154" s="339"/>
      <x:c r="X154" s="339"/>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339"/>
      <x:c r="V155" s="339"/>
      <x:c r="W155" s="339"/>
      <x:c r="X155" s="339"/>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339"/>
      <x:c r="V156" s="339"/>
      <x:c r="W156" s="339"/>
      <x:c r="X156" s="339"/>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339"/>
      <x:c r="V157" s="339"/>
      <x:c r="W157" s="339"/>
      <x:c r="X157" s="339"/>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339"/>
      <x:c r="V158" s="339"/>
      <x:c r="W158" s="339"/>
      <x:c r="X158" s="339"/>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339"/>
      <x:c r="V159" s="339"/>
      <x:c r="W159" s="339"/>
      <x:c r="X159" s="339"/>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339"/>
      <x:c r="V160" s="339"/>
      <x:c r="W160" s="339"/>
      <x:c r="X160" s="339"/>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339"/>
      <x:c r="V161" s="339"/>
      <x:c r="W161" s="339"/>
      <x:c r="X161" s="339"/>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339"/>
      <x:c r="V162" s="339"/>
      <x:c r="W162" s="339"/>
      <x:c r="X162" s="339"/>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339"/>
      <x:c r="V163" s="339"/>
      <x:c r="W163" s="339"/>
      <x:c r="X163" s="339"/>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339"/>
      <x:c r="V164" s="339"/>
      <x:c r="W164" s="339"/>
      <x:c r="X164" s="339"/>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339"/>
      <x:c r="V165" s="339"/>
      <x:c r="W165" s="339"/>
      <x:c r="X165" s="339"/>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339"/>
      <x:c r="V166" s="339"/>
      <x:c r="W166" s="339"/>
      <x:c r="X166" s="339"/>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339"/>
      <x:c r="V167" s="339"/>
      <x:c r="W167" s="339"/>
      <x:c r="X167" s="339"/>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339"/>
      <x:c r="V168" s="339"/>
      <x:c r="W168" s="339"/>
      <x:c r="X168" s="339"/>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339"/>
      <x:c r="V169" s="339"/>
      <x:c r="W169" s="339"/>
      <x:c r="X169" s="339"/>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339"/>
      <x:c r="V170" s="339"/>
      <x:c r="W170" s="339"/>
      <x:c r="X170" s="339"/>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339"/>
      <x:c r="V171" s="339"/>
      <x:c r="W171" s="339"/>
      <x:c r="X171" s="339"/>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339"/>
      <x:c r="V172" s="339"/>
      <x:c r="W172" s="339"/>
      <x:c r="X172" s="339"/>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339"/>
      <x:c r="V173" s="339"/>
      <x:c r="W173" s="339"/>
      <x:c r="X173" s="339"/>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339"/>
      <x:c r="V174" s="339"/>
      <x:c r="W174" s="339"/>
      <x:c r="X174" s="339"/>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339"/>
      <x:c r="V175" s="339"/>
      <x:c r="W175" s="339"/>
      <x:c r="X175" s="339"/>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339"/>
      <x:c r="V176" s="339"/>
      <x:c r="W176" s="339"/>
      <x:c r="X176" s="339"/>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339"/>
      <x:c r="V177" s="339"/>
      <x:c r="W177" s="339"/>
      <x:c r="X177" s="339"/>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339"/>
      <x:c r="V178" s="339"/>
      <x:c r="W178" s="339"/>
      <x:c r="X178" s="339"/>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339"/>
      <x:c r="V179" s="339"/>
      <x:c r="W179" s="339"/>
      <x:c r="X179" s="339"/>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339"/>
      <x:c r="V180" s="339"/>
      <x:c r="W180" s="339"/>
      <x:c r="X180" s="339"/>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339"/>
      <x:c r="V181" s="339"/>
      <x:c r="W181" s="339"/>
      <x:c r="X181" s="339"/>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339"/>
      <x:c r="V182" s="339"/>
      <x:c r="W182" s="339"/>
      <x:c r="X182" s="339"/>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339"/>
      <x:c r="V183" s="339"/>
      <x:c r="W183" s="339"/>
      <x:c r="X183" s="339"/>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339"/>
      <x:c r="V184" s="339"/>
      <x:c r="W184" s="339"/>
      <x:c r="X184" s="339"/>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339"/>
      <x:c r="V185" s="339"/>
      <x:c r="W185" s="339"/>
      <x:c r="X185" s="339"/>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339"/>
      <x:c r="V186" s="339"/>
      <x:c r="W186" s="339"/>
      <x:c r="X186" s="339"/>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339"/>
      <x:c r="V187" s="339"/>
      <x:c r="W187" s="339"/>
      <x:c r="X187" s="339"/>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339"/>
      <x:c r="V188" s="339"/>
      <x:c r="W188" s="339"/>
      <x:c r="X188" s="339"/>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339"/>
      <x:c r="V189" s="339"/>
      <x:c r="W189" s="339"/>
      <x:c r="X189" s="339"/>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339"/>
      <x:c r="V190" s="339"/>
      <x:c r="W190" s="339"/>
      <x:c r="X190" s="339"/>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339"/>
      <x:c r="V191" s="339"/>
      <x:c r="W191" s="339"/>
      <x:c r="X191" s="339"/>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339"/>
      <x:c r="V192" s="339"/>
      <x:c r="W192" s="339"/>
      <x:c r="X192" s="339"/>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339"/>
      <x:c r="V193" s="339"/>
      <x:c r="W193" s="339"/>
      <x:c r="X193" s="339"/>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339"/>
      <x:c r="V194" s="339"/>
      <x:c r="W194" s="339"/>
      <x:c r="X194" s="339"/>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339"/>
      <x:c r="V195" s="339"/>
      <x:c r="W195" s="339"/>
      <x:c r="X195" s="339"/>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339"/>
      <x:c r="V196" s="339"/>
      <x:c r="W196" s="339"/>
      <x:c r="X196" s="339"/>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339"/>
      <x:c r="V197" s="339"/>
      <x:c r="W197" s="339"/>
      <x:c r="X197" s="339"/>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339"/>
      <x:c r="V198" s="339"/>
      <x:c r="W198" s="339"/>
      <x:c r="X198" s="339"/>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339"/>
      <x:c r="V199" s="339"/>
      <x:c r="W199" s="339"/>
      <x:c r="X199" s="339"/>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339"/>
      <x:c r="V200" s="339"/>
      <x:c r="W200" s="339"/>
      <x:c r="X200" s="339"/>
      <x:c r="Y200" s="339"/>
      <x:c r="Z200" s="339"/>
    </x:row>
  </x:sheetData>
  <x:mergeCells>
    <x:mergeCell ref="A1:H1"/>
    <x:mergeCell ref="A2:H2"/>
  </x:mergeCells>
  <x:pageMargins left="0.7" right="0.7" top="0.75" bottom="0.75" header="0.3" footer="0.3"/>
</x:worksheet>
</file>

<file path=xl/worksheets/sheet12.xml><?xml version="1.0" encoding="utf-8"?>
<x:worksheet xmlns:x="http://schemas.openxmlformats.org/spreadsheetml/2006/main">
  <x:sheetFormatPr defaultRowHeight="15"/>
  <x:cols>
    <x:col min="1" max="1" width="10" hidden="0" customWidth="1"/>
    <x:col min="2" max="2" width="40" hidden="0" customWidth="1"/>
    <x:col min="3" max="3" width="30" hidden="0" customWidth="1"/>
    <x:col min="4" max="4" width="22" hidden="0" customWidth="1"/>
    <x:col min="5" max="5" width="58" hidden="0" customWidth="1"/>
    <x:col min="6" max="6" width="24" hidden="0" customWidth="1"/>
    <x:col min="7" max="7" width="36" hidden="0" customWidth="1"/>
    <x:col min="8" max="8" width="22" hidden="0" customWidth="1"/>
    <x:col min="9" max="9" width="58" hidden="0" customWidth="1"/>
    <x:col min="21" max="21" width="20" hidden="0" customWidth="1"/>
    <x:col min="22" max="22" width="24" hidden="0" customWidth="1"/>
    <x:col min="23" max="23" width="24" hidden="0" customWidth="1"/>
    <x:col min="24" max="24" width="24" hidden="0" customWidth="1"/>
  </x:cols>
  <x:sheetData>
    <x:row r="1" ht="30" customHeight="1">
      <x:c r="A1" s="338" t="str">
        <x:v>He Ara Angitū — Financial Model Source Register</x:v>
      </x:c>
      <x:c r="B1" s="338" t="str">
        <x:v>He Ara Angitū — Financial Model Source Register</x:v>
      </x:c>
      <x:c r="C1" s="338" t="str">
        <x:v>He Ara Angitū — Financial Model Source Register</x:v>
      </x:c>
      <x:c r="D1" s="338" t="str">
        <x:v>He Ara Angitū — Financial Model Source Register</x:v>
      </x:c>
      <x:c r="E1" s="338" t="str">
        <x:v>He Ara Angitū — Financial Model Source Register</x:v>
      </x:c>
      <x:c r="F1" s="338" t="str">
        <x:v>He Ara Angitū — Financial Model Source Register</x:v>
      </x:c>
      <x:c r="G1" s="338" t="str">
        <x:v>He Ara Angitū — Financial Model Source Register</x:v>
      </x:c>
      <x:c r="H1" s="338" t="str">
        <x:v>He Ara Angitū — Financial Model Source Register</x:v>
      </x:c>
      <x:c r="I1" s="338" t="str">
        <x:v>He Ara Angitū — Financial Model Source Register</x:v>
      </x:c>
      <x:c r="J1" s="339"/>
      <x:c r="K1" s="339"/>
      <x:c r="L1" s="339"/>
      <x:c r="M1" s="339"/>
      <x:c r="N1" s="339"/>
      <x:c r="O1" s="339"/>
      <x:c r="P1" s="339"/>
      <x:c r="Q1" s="339"/>
      <x:c r="R1" s="339"/>
      <x:c r="S1" s="339"/>
      <x:c r="T1" s="339"/>
      <x:c r="U1" s="1194"/>
      <x:c r="V1" s="1194"/>
      <x:c r="W1" s="1194"/>
      <x:c r="X1" s="1194"/>
      <x:c r="Y1" s="339"/>
      <x:c r="Z1" s="339"/>
    </x:row>
    <x:row r="2" ht="28" customHeight="1">
      <x:c r="A2" s="340" t="str">
        <x:v>Every externally sourced value is identified here. Budgetary allowances without a market quote are explicitly marked and must be replaced before funding approval.</x:v>
      </x:c>
      <x:c r="B2" s="340" t="str">
        <x:v>Every externally sourced value is identified here. Budgetary allowances without a market quote are explicitly marked and must be replaced before funding approval.</x:v>
      </x:c>
      <x:c r="C2" s="340" t="str">
        <x:v>Every externally sourced value is identified here. Budgetary allowances without a market quote are explicitly marked and must be replaced before funding approval.</x:v>
      </x:c>
      <x:c r="D2" s="340" t="str">
        <x:v>Every externally sourced value is identified here. Budgetary allowances without a market quote are explicitly marked and must be replaced before funding approval.</x:v>
      </x:c>
      <x:c r="E2" s="340" t="str">
        <x:v>Every externally sourced value is identified here. Budgetary allowances without a market quote are explicitly marked and must be replaced before funding approval.</x:v>
      </x:c>
      <x:c r="F2" s="340" t="str">
        <x:v>Every externally sourced value is identified here. Budgetary allowances without a market quote are explicitly marked and must be replaced before funding approval.</x:v>
      </x:c>
      <x:c r="G2" s="340" t="str">
        <x:v>Every externally sourced value is identified here. Budgetary allowances without a market quote are explicitly marked and must be replaced before funding approval.</x:v>
      </x:c>
      <x:c r="H2" s="340" t="str">
        <x:v>Every externally sourced value is identified here. Budgetary allowances without a market quote are explicitly marked and must be replaced before funding approval.</x:v>
      </x:c>
      <x:c r="I2" s="340" t="str">
        <x:v>Every externally sourced value is identified here. Budgetary allowances without a market quote are explicitly marked and must be replaced before funding approval.</x:v>
      </x:c>
      <x:c r="J2" s="339"/>
      <x:c r="K2" s="339"/>
      <x:c r="L2" s="339"/>
      <x:c r="M2" s="339"/>
      <x:c r="N2" s="339"/>
      <x:c r="O2" s="339"/>
      <x:c r="P2" s="339"/>
      <x:c r="Q2" s="339"/>
      <x:c r="R2" s="339"/>
      <x:c r="S2" s="339"/>
      <x:c r="T2" s="339"/>
      <x:c r="U2" s="1195"/>
      <x:c r="V2" s="1195"/>
      <x:c r="W2" s="1195"/>
      <x:c r="X2" s="1195"/>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1195"/>
      <x:c r="V3" s="1195"/>
      <x:c r="W3" s="1195"/>
      <x:c r="X3" s="1195"/>
      <x:c r="Y3" s="339"/>
      <x:c r="Z3" s="339"/>
    </x:row>
    <x:row r="4" ht="28" customHeight="1">
      <x:c r="A4" s="343" t="str">
        <x:v>Source ID</x:v>
      </x:c>
      <x:c r="B4" s="343" t="str">
        <x:v>Source / title</x:v>
      </x:c>
      <x:c r="C4" s="343" t="str">
        <x:v>Organisation</x:v>
      </x:c>
      <x:c r="D4" s="343" t="str">
        <x:v>Date / version</x:v>
      </x:c>
      <x:c r="E4" s="343" t="str">
        <x:v>URL or file reference</x:v>
      </x:c>
      <x:c r="F4" s="343" t="str">
        <x:v>Source type</x:v>
      </x:c>
      <x:c r="G4" s="343" t="str">
        <x:v>Used for</x:v>
      </x:c>
      <x:c r="H4" s="343" t="str">
        <x:v>Confidence</x:v>
      </x:c>
      <x:c r="I4" s="343" t="str">
        <x:v>Critical caveat</x:v>
      </x:c>
      <x:c r="J4" s="339"/>
      <x:c r="K4" s="339"/>
      <x:c r="L4" s="339"/>
      <x:c r="M4" s="339"/>
      <x:c r="N4" s="339"/>
      <x:c r="O4" s="339"/>
      <x:c r="P4" s="339"/>
      <x:c r="Q4" s="339"/>
      <x:c r="R4" s="339"/>
      <x:c r="S4" s="339"/>
      <x:c r="T4" s="339"/>
      <x:c r="U4" s="1195"/>
      <x:c r="V4" s="1195"/>
      <x:c r="W4" s="1195"/>
      <x:c r="X4" s="1195"/>
      <x:c r="Y4" s="339"/>
      <x:c r="Z4" s="339"/>
    </x:row>
    <x:row r="5">
      <x:c r="A5" s="30" t="str">
        <x:v>S01</x:v>
      </x:c>
      <x:c r="B5" s="28" t="str">
        <x:v>He Ara Angitū — Pathways to Prosperity policy specification</x:v>
      </x:c>
      <x:c r="C5" s="28" t="str">
        <x:v>Christopher Laidlaw</x:v>
      </x:c>
      <x:c r="D5" s="28" t="str">
        <x:v>July 2026</x:v>
      </x:c>
      <x:c r="E5" s="32" t="str">
        <x:v>Commissioning policy specification supplied by the author</x:v>
      </x:c>
      <x:c r="F5" s="28" t="str">
        <x:v>Programme scope</x:v>
      </x:c>
      <x:c r="G5" s="28" t="str">
        <x:v>Three-stage rollout, payment split, pilot size and programme mechanisms</x:v>
      </x:c>
      <x:c r="H5" s="28" t="str">
        <x:v>Medium</x:v>
      </x:c>
      <x:c r="I5" s="28" t="str">
        <x:v>Programme scope requires government feasibility, co-design, legal review and independent evaluation.</x:v>
      </x:c>
      <x:c r="J5" s="339"/>
      <x:c r="K5" s="339"/>
      <x:c r="L5" s="339"/>
      <x:c r="M5" s="339"/>
      <x:c r="N5" s="339"/>
      <x:c r="O5" s="339"/>
      <x:c r="P5" s="339"/>
      <x:c r="Q5" s="339"/>
      <x:c r="R5" s="339"/>
      <x:c r="S5" s="339"/>
      <x:c r="T5" s="339"/>
      <x:c r="U5" s="1195"/>
      <x:c r="V5" s="1195"/>
      <x:c r="W5" s="1195"/>
      <x:c r="X5" s="1195"/>
      <x:c r="Y5" s="339"/>
      <x:c r="Z5" s="339"/>
    </x:row>
    <x:row r="6">
      <x:c r="A6" s="30" t="str">
        <x:v>S02</x:v>
      </x:c>
      <x:c r="B6" s="28" t="str">
        <x:v>Estimating the Cost of Youth Disengagement in New Zealand</x:v>
      </x:c>
      <x:c r="C6" s="28" t="str">
        <x:v>Auckland University of Technology — Pacheco &amp; Dye</x:v>
      </x:c>
      <x:c r="D6" s="28" t="str">
        <x:v>May 2013</x:v>
      </x:c>
      <x:c r="E6" s="32" t="str">
        <x:v>https://www.aut.ac.nz/__data/assets/pdf_file/0016/122029/Economics-WP-2013-04.pdf</x:v>
      </x:c>
      <x:c r="F6" s="28" t="str">
        <x:v>Research paper</x:v>
      </x:c>
      <x:c r="G6" s="28" t="str">
        <x:v>NEET cost benchmark</x:v>
      </x:c>
      <x:c r="H6" s="28" t="str">
        <x:v>Medium</x:v>
      </x:c>
      <x:c r="I6" s="28" t="str">
        <x:v>NZ short-term estimate is robustly described; lifetime multiplier is borrowed from UK research and is low-confidence for NZ.</x:v>
      </x:c>
      <x:c r="J6" s="339"/>
      <x:c r="K6" s="339"/>
      <x:c r="L6" s="339"/>
      <x:c r="M6" s="339"/>
      <x:c r="N6" s="339"/>
      <x:c r="O6" s="339"/>
      <x:c r="P6" s="339"/>
      <x:c r="Q6" s="339"/>
      <x:c r="R6" s="339"/>
      <x:c r="S6" s="339"/>
      <x:c r="T6" s="339"/>
      <x:c r="U6" s="1195"/>
      <x:c r="V6" s="1195"/>
      <x:c r="W6" s="1195"/>
      <x:c r="X6" s="1195"/>
      <x:c r="Y6" s="339"/>
      <x:c r="Z6" s="339"/>
    </x:row>
    <x:row r="7">
      <x:c r="A7" s="30" t="str">
        <x:v>S03</x:v>
      </x:c>
      <x:c r="B7" s="28" t="str">
        <x:v>Inflation calculator and all-groups CPI series</x:v>
      </x:c>
      <x:c r="C7" s="28" t="str">
        <x:v>Reserve Bank of New Zealand / Stats NZ</x:v>
      </x:c>
      <x:c r="D7" s="28" t="str">
        <x:v>March 2026 quarter</x:v>
      </x:c>
      <x:c r="E7" s="32" t="str">
        <x:v>https://www.rbnz.govt.nz/monetary-policy/about-monetary-policy/inflation-calculator
https://www.stats.govt.nz/assets/Uploads/Consumers-price-index/Consumers-price-index-March-2026-quarter/Download-data/consumers-price-index-march-2026-quarter.xlsx</x:v>
      </x:c>
      <x:c r="F7" s="28" t="str">
        <x:v>Official calculator and data</x:v>
      </x:c>
      <x:c r="G7" s="28" t="str">
        <x:v>December 2012 to March 2026 CPI uplift</x:v>
      </x:c>
      <x:c r="H7" s="28" t="str">
        <x:v>High</x:v>
      </x:c>
      <x:c r="I7" s="28" t="str">
        <x:v>All-groups CPI: December 2012 = 953.5; March 2026 = 1339; uplift factor = 1.4043. Refresh after the next CPI release.</x:v>
      </x:c>
      <x:c r="J7" s="339"/>
      <x:c r="K7" s="339"/>
      <x:c r="L7" s="339"/>
      <x:c r="M7" s="339"/>
      <x:c r="N7" s="339"/>
      <x:c r="O7" s="339"/>
      <x:c r="P7" s="339"/>
      <x:c r="Q7" s="339"/>
      <x:c r="R7" s="339"/>
      <x:c r="S7" s="339"/>
      <x:c r="T7" s="339"/>
      <x:c r="U7" s="1195"/>
      <x:c r="V7" s="1195"/>
      <x:c r="W7" s="1195"/>
      <x:c r="X7" s="1195"/>
      <x:c r="Y7" s="339"/>
      <x:c r="Z7" s="339"/>
    </x:row>
    <x:row r="8">
      <x:c r="A8" s="30" t="str">
        <x:v>S04</x:v>
      </x:c>
      <x:c r="B8" s="28" t="str">
        <x:v>The Treasury's CBAx Tool</x:v>
      </x:c>
      <x:c r="C8" s="28" t="str">
        <x:v>New Zealand Treasury</x:v>
      </x:c>
      <x:c r="D8" s="28" t="str">
        <x:v>February 2026</x:v>
      </x:c>
      <x:c r="E8" s="32" t="str">
        <x:v>https://www.treasury.govt.nz/information-and-services/public-sector-leadership/investment-management/investment-planning/treasurys-cbax-tool</x:v>
      </x:c>
      <x:c r="F8" s="28" t="str">
        <x:v>Official methodology</x:v>
      </x:c>
      <x:c r="G8" s="28" t="str">
        <x:v>Cost-benefit architecture and impact values</x:v>
      </x:c>
      <x:c r="H8" s="28" t="str">
        <x:v>High</x:v>
      </x:c>
      <x:c r="I8" s="28" t="str">
        <x:v>CBAx supports judgement; it does not prove programme effectiveness.</x:v>
      </x:c>
      <x:c r="J8" s="339"/>
      <x:c r="K8" s="339"/>
      <x:c r="L8" s="339"/>
      <x:c r="M8" s="339"/>
      <x:c r="N8" s="339"/>
      <x:c r="O8" s="339"/>
      <x:c r="P8" s="339"/>
      <x:c r="Q8" s="339"/>
      <x:c r="R8" s="339"/>
      <x:c r="S8" s="339"/>
      <x:c r="T8" s="339"/>
      <x:c r="U8" s="1194"/>
      <x:c r="V8" s="1194"/>
      <x:c r="W8" s="1194"/>
      <x:c r="X8" s="1194"/>
      <x:c r="Y8" s="339"/>
      <x:c r="Z8" s="339"/>
    </x:row>
    <x:row r="9">
      <x:c r="A9" s="30" t="str">
        <x:v>S05</x:v>
      </x:c>
      <x:c r="B9" s="28" t="str">
        <x:v>CBAx Tool User Guidance</x:v>
      </x:c>
      <x:c r="C9" s="28" t="str">
        <x:v>New Zealand Treasury</x:v>
      </x:c>
      <x:c r="D9" s="28" t="str">
        <x:v>November 2025</x:v>
      </x:c>
      <x:c r="E9" s="32" t="str">
        <x:v>https://www.treasury.govt.nz/sites/default/files/2025-11/cbax-tool-user-guidance-nov25.pdf</x:v>
      </x:c>
      <x:c r="F9" s="28" t="str">
        <x:v>Official guidance</x:v>
      </x:c>
      <x:c r="G9" s="28" t="str">
        <x:v>Discounting, sensitivity, evidence discipline</x:v>
      </x:c>
      <x:c r="H9" s="28" t="str">
        <x:v>High</x:v>
      </x:c>
      <x:c r="I9" s="28" t="str">
        <x:v>Requires explicit success rates, timing, duration and uncertainty.</x:v>
      </x:c>
      <x:c r="J9" s="339"/>
      <x:c r="K9" s="339"/>
      <x:c r="L9" s="339"/>
      <x:c r="M9" s="339"/>
      <x:c r="N9" s="339"/>
      <x:c r="O9" s="339"/>
      <x:c r="P9" s="339"/>
      <x:c r="Q9" s="339"/>
      <x:c r="R9" s="339"/>
      <x:c r="S9" s="339"/>
      <x:c r="T9" s="339"/>
      <x:c r="U9" s="1194"/>
      <x:c r="V9" s="1194"/>
      <x:c r="W9" s="1194"/>
      <x:c r="X9" s="1194"/>
      <x:c r="Y9" s="339"/>
      <x:c r="Z9" s="339"/>
    </x:row>
    <x:row r="10">
      <x:c r="A10" s="30" t="str">
        <x:v>S06</x:v>
      </x:c>
      <x:c r="B10" s="28" t="str">
        <x:v>Public Sector Discount Rates</x:v>
      </x:c>
      <x:c r="C10" s="28" t="str">
        <x:v>New Zealand Treasury</x:v>
      </x:c>
      <x:c r="D10" s="28" t="str">
        <x:v>Current 2025–2027 settings</x:v>
      </x:c>
      <x:c r="E10" s="32" t="str">
        <x:v>https://www.treasury.govt.nz/information-and-services/public-sector-leadership/guidance/reporting-financial/discount-rates</x:v>
      </x:c>
      <x:c r="F10" s="28" t="str">
        <x:v>Official guidance</x:v>
      </x:c>
      <x:c r="G10" s="28" t="str">
        <x:v>2% real standard; 8% mandatory sensitivity</x:v>
      </x:c>
      <x:c r="H10" s="28" t="str">
        <x:v>High</x:v>
      </x:c>
      <x:c r="I10" s="28" t="str">
        <x:v>The model is an early planning model, not a completed 50-year CBAx.</x:v>
      </x:c>
      <x:c r="J10" s="339"/>
      <x:c r="K10" s="339"/>
      <x:c r="L10" s="339"/>
      <x:c r="M10" s="339"/>
      <x:c r="N10" s="339"/>
      <x:c r="O10" s="339"/>
      <x:c r="P10" s="339"/>
      <x:c r="Q10" s="339"/>
      <x:c r="R10" s="339"/>
      <x:c r="S10" s="339"/>
      <x:c r="T10" s="339"/>
      <x:c r="U10" s="1194"/>
      <x:c r="V10" s="1194"/>
      <x:c r="W10" s="1194"/>
      <x:c r="X10" s="1194"/>
      <x:c r="Y10" s="339"/>
      <x:c r="Z10" s="339"/>
    </x:row>
    <x:row r="11">
      <x:c r="A11" s="30" t="str">
        <x:v>S07</x:v>
      </x:c>
      <x:c r="B11" s="28" t="str">
        <x:v>Better Business Cases</x:v>
      </x:c>
      <x:c r="C11" s="28" t="str">
        <x:v>New Zealand Treasury</x:v>
      </x:c>
      <x:c r="D11" s="28" t="str">
        <x:v>April 2026</x:v>
      </x:c>
      <x:c r="E11" s="32" t="str">
        <x:v>https://www.treasury.govt.nz/information-and-services/public-sector-leadership/investment-management/better-business-cases</x:v>
      </x:c>
      <x:c r="F11" s="28" t="str">
        <x:v>Official guidance</x:v>
      </x:c>
      <x:c r="G11" s="28" t="str">
        <x:v>Year 0 deliverables and assurance</x:v>
      </x:c>
      <x:c r="H11" s="28" t="str">
        <x:v>High</x:v>
      </x:c>
      <x:c r="I11" s="28" t="str">
        <x:v>A Programme Business Case and subsequent delivery approvals remain required.</x:v>
      </x:c>
      <x:c r="J11" s="339"/>
      <x:c r="K11" s="339"/>
      <x:c r="L11" s="339"/>
      <x:c r="M11" s="339"/>
      <x:c r="N11" s="339"/>
      <x:c r="O11" s="339"/>
      <x:c r="P11" s="339"/>
      <x:c r="Q11" s="339"/>
      <x:c r="R11" s="339"/>
      <x:c r="S11" s="339"/>
      <x:c r="T11" s="339"/>
      <x:c r="U11" s="1194"/>
      <x:c r="V11" s="1194"/>
      <x:c r="W11" s="1194"/>
      <x:c r="X11" s="1194"/>
      <x:c r="Y11" s="339"/>
      <x:c r="Z11" s="339"/>
    </x:row>
    <x:row r="12">
      <x:c r="A12" s="30" t="str">
        <x:v>S08</x:v>
      </x:c>
      <x:c r="B12" s="28" t="str">
        <x:v>School rolls</x:v>
      </x:c>
      <x:c r="C12" s="28" t="str">
        <x:v>Ministry of Education — Education Counts</x:v>
      </x:c>
      <x:c r="D12" s="28" t="str">
        <x:v>1 July 2025 roll; released October 2025</x:v>
      </x:c>
      <x:c r="E12" s="32" t="str">
        <x:v>https://www.educationcounts.govt.nz/statistics/school-rolls</x:v>
      </x:c>
      <x:c r="F12" s="28" t="str">
        <x:v>Official statistics</x:v>
      </x:c>
      <x:c r="G12" s="28" t="str">
        <x:v>National cohort proxy</x:v>
      </x:c>
      <x:c r="H12" s="28" t="str">
        <x:v>High for published roll; Medium for proxy</x:v>
      </x:c>
      <x:c r="I12" s="28" t="str">
        <x:v>The 311,743 secondary subtotal is a planning proxy, not an exact Year 9–13 eligible count.</x:v>
      </x:c>
      <x:c r="J12" s="339"/>
      <x:c r="K12" s="339"/>
      <x:c r="L12" s="339"/>
      <x:c r="M12" s="339"/>
      <x:c r="N12" s="339"/>
      <x:c r="O12" s="339"/>
      <x:c r="P12" s="339"/>
      <x:c r="Q12" s="339"/>
      <x:c r="R12" s="339"/>
      <x:c r="S12" s="339"/>
      <x:c r="T12" s="339"/>
      <x:c r="U12" s="1194"/>
      <x:c r="V12" s="1194"/>
      <x:c r="W12" s="1194"/>
      <x:c r="X12" s="1194"/>
      <x:c r="Y12" s="339"/>
      <x:c r="Z12" s="339"/>
    </x:row>
    <x:row r="13">
      <x:c r="A13" s="30" t="str">
        <x:v>S09</x:v>
      </x:c>
      <x:c r="B13" s="28" t="str">
        <x:v>Wage trends — Public Service</x:v>
      </x:c>
      <x:c r="C13" s="28" t="str">
        <x:v>Public Service Commission</x:v>
      </x:c>
      <x:c r="D13" s="28" t="str">
        <x:v>June 2025</x:v>
      </x:c>
      <x:c r="E13" s="32" t="str">
        <x:v>https://www.publicservice.govt.nz/data/workforce-data/remunerationpay/wage-trends</x:v>
      </x:c>
      <x:c r="F13" s="28" t="str">
        <x:v>Official workforce data</x:v>
      </x:c>
      <x:c r="G13" s="28" t="str">
        <x:v>General salary benchmark</x:v>
      </x:c>
      <x:c r="H13" s="28" t="str">
        <x:v>High</x:v>
      </x:c>
      <x:c r="I13" s="28" t="str">
        <x:v>Average base salary is not a quote for any specific role.</x:v>
      </x:c>
      <x:c r="J13" s="339"/>
      <x:c r="K13" s="339"/>
      <x:c r="L13" s="339"/>
      <x:c r="M13" s="339"/>
      <x:c r="N13" s="339"/>
      <x:c r="O13" s="339"/>
      <x:c r="P13" s="339"/>
      <x:c r="Q13" s="339"/>
      <x:c r="R13" s="339"/>
      <x:c r="S13" s="339"/>
      <x:c r="T13" s="339"/>
      <x:c r="U13" s="1194"/>
      <x:c r="V13" s="1194"/>
      <x:c r="W13" s="1194"/>
      <x:c r="X13" s="1194"/>
      <x:c r="Y13" s="339"/>
      <x:c r="Z13" s="339"/>
    </x:row>
    <x:row r="14">
      <x:c r="A14" s="30" t="str">
        <x:v>S10</x:v>
      </x:c>
      <x:c r="B14" s="28" t="str">
        <x:v>Service Manager vacancy — salary range</x:v>
      </x:c>
      <x:c r="C14" s="28" t="str">
        <x:v>Ministry of Education / NZ Government Jobs</x:v>
      </x:c>
      <x:c r="D14" s="28" t="str">
        <x:v>June 2026</x:v>
      </x:c>
      <x:c r="E14" s="32" t="str">
        <x:v>https://jobs.govt.nz/jobtools/jncustomsearch.viewFullSingle?in_jnCounter=226616998&amp;in_organid=16563</x:v>
      </x:c>
      <x:c r="F14" s="28" t="str">
        <x:v>Current vacancy benchmark</x:v>
      </x:c>
      <x:c r="G14" s="28" t="str">
        <x:v>Manager salary benchmark</x:v>
      </x:c>
      <x:c r="H14" s="28" t="str">
        <x:v>Medium-High</x:v>
      </x:c>
      <x:c r="I14" s="28" t="str">
        <x:v>Vacancy may expire; retain a PDF/screenshot in the evidence register.</x:v>
      </x:c>
      <x:c r="J14" s="339"/>
      <x:c r="K14" s="339"/>
      <x:c r="L14" s="339"/>
      <x:c r="M14" s="339"/>
      <x:c r="N14" s="339"/>
      <x:c r="O14" s="339"/>
      <x:c r="P14" s="339"/>
      <x:c r="Q14" s="339"/>
      <x:c r="R14" s="339"/>
      <x:c r="S14" s="339"/>
      <x:c r="T14" s="339"/>
      <x:c r="U14" s="1194"/>
      <x:c r="V14" s="1194"/>
      <x:c r="W14" s="1194"/>
      <x:c r="X14" s="1194"/>
      <x:c r="Y14" s="339"/>
      <x:c r="Z14" s="339"/>
    </x:row>
    <x:row r="15">
      <x:c r="A15" s="30" t="str">
        <x:v>S11</x:v>
      </x:c>
      <x:c r="B15" s="28" t="str">
        <x:v>Project Coordinator vacancy — salary range</x:v>
      </x:c>
      <x:c r="C15" s="28" t="str">
        <x:v>Ministry of Education / NZ Government Jobs</x:v>
      </x:c>
      <x:c r="D15" s="28" t="str">
        <x:v>May 2026</x:v>
      </x:c>
      <x:c r="E15" s="32" t="str">
        <x:v>https://jobs.govt.nz/jobtools/jncustomsearch.viewFullSingle?in_jnCounter=226604582&amp;in_organid=16563</x:v>
      </x:c>
      <x:c r="F15" s="28" t="str">
        <x:v>Current vacancy benchmark</x:v>
      </x:c>
      <x:c r="G15" s="28" t="str">
        <x:v>Coordinator salary benchmark</x:v>
      </x:c>
      <x:c r="H15" s="28" t="str">
        <x:v>Medium-High</x:v>
      </x:c>
      <x:c r="I15" s="28" t="str">
        <x:v>Vacancy may expire; retain a PDF/screenshot in the evidence register.</x:v>
      </x:c>
      <x:c r="J15" s="339"/>
      <x:c r="K15" s="339"/>
      <x:c r="L15" s="339"/>
      <x:c r="M15" s="339"/>
      <x:c r="N15" s="339"/>
      <x:c r="O15" s="339"/>
      <x:c r="P15" s="339"/>
      <x:c r="Q15" s="339"/>
      <x:c r="R15" s="339"/>
      <x:c r="S15" s="339"/>
      <x:c r="T15" s="339"/>
      <x:c r="U15" s="1194"/>
      <x:c r="V15" s="1194"/>
      <x:c r="W15" s="1194"/>
      <x:c r="X15" s="1194"/>
      <x:c r="Y15" s="339"/>
      <x:c r="Z15" s="339"/>
    </x:row>
    <x:row r="16">
      <x:c r="A16" s="30" t="str">
        <x:v>S12</x:v>
      </x:c>
      <x:c r="B16" s="28" t="str">
        <x:v>Senior Advisor vacancy — salary range</x:v>
      </x:c>
      <x:c r="C16" s="28" t="str">
        <x:v>NZ Government Jobs</x:v>
      </x:c>
      <x:c r="D16" s="28" t="str">
        <x:v>June–July 2026</x:v>
      </x:c>
      <x:c r="E16" s="32" t="str">
        <x:v>https://jobs.govt.nz/jobs/WKS-1929487</x:v>
      </x:c>
      <x:c r="F16" s="28" t="str">
        <x:v>Current vacancy benchmark</x:v>
      </x:c>
      <x:c r="G16" s="28" t="str">
        <x:v>Senior policy/commercial salary benchmark</x:v>
      </x:c>
      <x:c r="H16" s="28" t="str">
        <x:v>Medium-High</x:v>
      </x:c>
      <x:c r="I16" s="28" t="str">
        <x:v>Vacancy may expire; retain a PDF/screenshot in the evidence register.</x:v>
      </x:c>
      <x:c r="J16" s="339"/>
      <x:c r="K16" s="339"/>
      <x:c r="L16" s="339"/>
      <x:c r="M16" s="339"/>
      <x:c r="N16" s="339"/>
      <x:c r="O16" s="339"/>
      <x:c r="P16" s="339"/>
      <x:c r="Q16" s="339"/>
      <x:c r="R16" s="339"/>
      <x:c r="S16" s="339"/>
      <x:c r="T16" s="339"/>
      <x:c r="U16" s="1194"/>
      <x:c r="V16" s="1194"/>
      <x:c r="W16" s="1194"/>
      <x:c r="X16" s="1194"/>
      <x:c r="Y16" s="339"/>
      <x:c r="Z16" s="339"/>
    </x:row>
    <x:row r="17">
      <x:c r="A17" s="30" t="str">
        <x:v>S13</x:v>
      </x:c>
      <x:c r="B17" s="28" t="str">
        <x:v>Data Analyst vacancy — salary range</x:v>
      </x:c>
      <x:c r="C17" s="28" t="str">
        <x:v>Tertiary Education Commission / NZ Government Jobs</x:v>
      </x:c>
      <x:c r="D17" s="28" t="str">
        <x:v>July 2026</x:v>
      </x:c>
      <x:c r="E17" s="32" t="str">
        <x:v>https://jobs.govt.nz/jobs/Wellington/TEC-1935286</x:v>
      </x:c>
      <x:c r="F17" s="28" t="str">
        <x:v>Current vacancy benchmark</x:v>
      </x:c>
      <x:c r="G17" s="28" t="str">
        <x:v>Data/evaluation salary benchmark</x:v>
      </x:c>
      <x:c r="H17" s="28" t="str">
        <x:v>Medium-High</x:v>
      </x:c>
      <x:c r="I17" s="28" t="str">
        <x:v>Vacancy may expire; retain a PDF/screenshot in the evidence register.</x:v>
      </x:c>
      <x:c r="J17" s="339"/>
      <x:c r="K17" s="339"/>
      <x:c r="L17" s="339"/>
      <x:c r="M17" s="339"/>
      <x:c r="N17" s="339"/>
      <x:c r="O17" s="339"/>
      <x:c r="P17" s="339"/>
      <x:c r="Q17" s="339"/>
      <x:c r="R17" s="339"/>
      <x:c r="S17" s="339"/>
      <x:c r="T17" s="339"/>
      <x:c r="U17" s="1194"/>
      <x:c r="V17" s="1194"/>
      <x:c r="W17" s="1194"/>
      <x:c r="X17" s="1194"/>
      <x:c r="Y17" s="339"/>
      <x:c r="Z17" s="339"/>
    </x:row>
    <x:row r="18">
      <x:c r="A18" s="30" t="str">
        <x:v>S14</x:v>
      </x:c>
      <x:c r="B18" s="28" t="str">
        <x:v>Cabinet Fees Framework</x:v>
      </x:c>
      <x:c r="C18" s="28" t="str">
        <x:v>Public Service Commission / DPMC</x:v>
      </x:c>
      <x:c r="D18" s="28" t="str">
        <x:v>Effective 1 July 2025</x:v>
      </x:c>
      <x:c r="E18" s="32" t="str">
        <x:v>https://www.publicservice.govt.nz/guidance/interpreting-and-implementing-the-cabinet-fees-framework</x:v>
      </x:c>
      <x:c r="F18" s="28" t="str">
        <x:v>Official guidance</x:v>
      </x:c>
      <x:c r="G18" s="28" t="str">
        <x:v>Governance fees</x:v>
      </x:c>
      <x:c r="H18" s="28" t="str">
        <x:v>High</x:v>
      </x:c>
      <x:c r="I18" s="28" t="str">
        <x:v>Actual board classification and fee approval must be confirmed.</x:v>
      </x:c>
      <x:c r="J18" s="339"/>
      <x:c r="K18" s="339"/>
      <x:c r="L18" s="339"/>
      <x:c r="M18" s="339"/>
      <x:c r="N18" s="339"/>
      <x:c r="O18" s="339"/>
      <x:c r="P18" s="339"/>
      <x:c r="Q18" s="339"/>
      <x:c r="R18" s="339"/>
      <x:c r="S18" s="339"/>
      <x:c r="T18" s="339"/>
      <x:c r="U18" s="1194"/>
      <x:c r="V18" s="1194"/>
      <x:c r="W18" s="1194"/>
      <x:c r="X18" s="1194"/>
      <x:c r="Y18" s="339"/>
      <x:c r="Z18" s="339"/>
    </x:row>
    <x:row r="19">
      <x:c r="A19" s="30" t="str">
        <x:v>S15</x:v>
      </x:c>
      <x:c r="B19" s="28" t="str">
        <x:v>Privacy Act obligations and Privacy Principle 5</x:v>
      </x:c>
      <x:c r="C19" s="28" t="str">
        <x:v>Office of the Privacy Commissioner</x:v>
      </x:c>
      <x:c r="D19" s="28" t="str">
        <x:v>Current</x:v>
      </x:c>
      <x:c r="E19" s="32" t="str">
        <x:v>https://www.privacy.org.nz/responsibilities/your-obligations/</x:v>
      </x:c>
      <x:c r="F19" s="28" t="str">
        <x:v>Official guidance</x:v>
      </x:c>
      <x:c r="G19" s="28" t="str">
        <x:v>Privacy, PIA and security work</x:v>
      </x:c>
      <x:c r="H19" s="28" t="str">
        <x:v>High</x:v>
      </x:c>
      <x:c r="I19" s="28" t="str">
        <x:v>Legal/privacy advice must be obtained for children, schools and cross-agency data sharing.</x:v>
      </x:c>
      <x:c r="J19" s="339"/>
      <x:c r="K19" s="339"/>
      <x:c r="L19" s="339"/>
      <x:c r="M19" s="339"/>
      <x:c r="N19" s="339"/>
      <x:c r="O19" s="339"/>
      <x:c r="P19" s="339"/>
      <x:c r="Q19" s="339"/>
      <x:c r="R19" s="339"/>
      <x:c r="S19" s="339"/>
      <x:c r="T19" s="339"/>
      <x:c r="U19" s="1194"/>
      <x:c r="V19" s="1194"/>
      <x:c r="W19" s="1194"/>
      <x:c r="X19" s="1194"/>
      <x:c r="Y19" s="339"/>
      <x:c r="Z19" s="339"/>
    </x:row>
    <x:row r="20">
      <x:c r="A20" s="30" t="str">
        <x:v>S16</x:v>
      </x:c>
      <x:c r="B20" s="28" t="str">
        <x:v>New Zealand Information Security Manual</x:v>
      </x:c>
      <x:c r="C20" s="28" t="str">
        <x:v>GCSB / NCSC</x:v>
      </x:c>
      <x:c r="D20" s="28" t="str">
        <x:v>Current online edition</x:v>
      </x:c>
      <x:c r="E20" s="32" t="str">
        <x:v>https://nzism.gcsb.govt.nz/ism-document</x:v>
      </x:c>
      <x:c r="F20" s="28" t="str">
        <x:v>Official security standard</x:v>
      </x:c>
      <x:c r="G20" s="28" t="str">
        <x:v>Security architecture and assurance</x:v>
      </x:c>
      <x:c r="H20" s="28" t="str">
        <x:v>High</x:v>
      </x:c>
      <x:c r="I20" s="28" t="str">
        <x:v>Compliance scope depends on hosting, information classification and agency ownership.</x:v>
      </x:c>
      <x:c r="J20" s="339"/>
      <x:c r="K20" s="339"/>
      <x:c r="L20" s="339"/>
      <x:c r="M20" s="339"/>
      <x:c r="N20" s="339"/>
      <x:c r="O20" s="339"/>
      <x:c r="P20" s="339"/>
      <x:c r="Q20" s="339"/>
      <x:c r="R20" s="339"/>
      <x:c r="S20" s="339"/>
      <x:c r="T20" s="339"/>
      <x:c r="U20" s="1194"/>
      <x:c r="V20" s="1194"/>
      <x:c r="W20" s="1194"/>
      <x:c r="X20" s="1194"/>
      <x:c r="Y20" s="339"/>
      <x:c r="Z20" s="339"/>
    </x:row>
    <x:row r="21">
      <x:c r="A21" s="30" t="str">
        <x:v>S17</x:v>
      </x:c>
      <x:c r="B21" s="28" t="str">
        <x:v>Police Vetting Service fees</x:v>
      </x:c>
      <x:c r="C21" s="28" t="str">
        <x:v>New Zealand Police</x:v>
      </x:c>
      <x:c r="D21" s="28" t="str">
        <x:v>Current 2026 fee</x:v>
      </x:c>
      <x:c r="E21" s="32" t="str">
        <x:v>https://www.police.govt.nz/advice-services/businesses-and-organisations/nz-police-vetting-service/fees-charges-and-payments</x:v>
      </x:c>
      <x:c r="F21" s="28" t="str">
        <x:v>Official price</x:v>
      </x:c>
      <x:c r="G21" s="28" t="str">
        <x:v>Mentor/staff vetting</x:v>
      </x:c>
      <x:c r="H21" s="28" t="str">
        <x:v>High</x:v>
      </x:c>
      <x:c r="I21" s="28" t="str">
        <x:v>Police is consulting on fee changes for 2027; update before procurement.</x:v>
      </x:c>
      <x:c r="J21" s="339"/>
      <x:c r="K21" s="339"/>
      <x:c r="L21" s="339"/>
      <x:c r="M21" s="339"/>
      <x:c r="N21" s="339"/>
      <x:c r="O21" s="339"/>
      <x:c r="P21" s="339"/>
      <x:c r="Q21" s="339"/>
      <x:c r="R21" s="339"/>
      <x:c r="S21" s="339"/>
      <x:c r="T21" s="339"/>
      <x:c r="U21" s="1194"/>
      <x:c r="V21" s="1194"/>
      <x:c r="W21" s="1194"/>
      <x:c r="X21" s="1194"/>
      <x:c r="Y21" s="339"/>
      <x:c r="Z21" s="339"/>
    </x:row>
    <x:row r="22">
      <x:c r="A22" s="30" t="str">
        <x:v>S18</x:v>
      </x:c>
      <x:c r="B22" s="28" t="str">
        <x:v>StudyLink</x:v>
      </x:c>
      <x:c r="C22" s="28" t="str">
        <x:v>Ministry of Social Development</x:v>
      </x:c>
      <x:c r="D22" s="28" t="str">
        <x:v>Current</x:v>
      </x:c>
      <x:c r="E22" s="32" t="str">
        <x:v>https://www.studylink.govt.nz/</x:v>
      </x:c>
      <x:c r="F22" s="28" t="str">
        <x:v>Official service description</x:v>
      </x:c>
      <x:c r="G22" s="28" t="str">
        <x:v>Potential payment-administration pathway</x:v>
      </x:c>
      <x:c r="H22" s="28" t="str">
        <x:v>High for capability; Low for cost</x:v>
      </x:c>
      <x:c r="I22" s="28" t="str">
        <x:v>No public quote exists for administering this new payment. A formal inter-agency cost estimate is mandatory.</x:v>
      </x:c>
      <x:c r="J22" s="339"/>
      <x:c r="K22" s="339"/>
      <x:c r="L22" s="339"/>
      <x:c r="M22" s="339"/>
      <x:c r="N22" s="339"/>
      <x:c r="O22" s="339"/>
      <x:c r="P22" s="339"/>
      <x:c r="Q22" s="339"/>
      <x:c r="R22" s="339"/>
      <x:c r="S22" s="339"/>
      <x:c r="T22" s="339"/>
      <x:c r="U22" s="1194"/>
      <x:c r="V22" s="1194"/>
      <x:c r="W22" s="1194"/>
      <x:c r="X22" s="1194"/>
      <x:c r="Y22" s="339"/>
      <x:c r="Z22" s="339"/>
    </x:row>
    <x:row r="23">
      <x:c r="A23" s="30" t="str">
        <x:v>S19</x:v>
      </x:c>
      <x:c r="B23" s="28" t="str">
        <x:v>Azure pricing</x:v>
      </x:c>
      <x:c r="C23" s="28" t="str">
        <x:v>Microsoft</x:v>
      </x:c>
      <x:c r="D23" s="28" t="str">
        <x:v>Current</x:v>
      </x:c>
      <x:c r="E23" s="32" t="str">
        <x:v>https://azure.microsoft.com/en-us/pricing/</x:v>
      </x:c>
      <x:c r="F23" s="28" t="str">
        <x:v>Vendor price pages</x:v>
      </x:c>
      <x:c r="G23" s="28" t="str">
        <x:v>Cloud services reference</x:v>
      </x:c>
      <x:c r="H23" s="28" t="str">
        <x:v>Low-Medium</x:v>
      </x:c>
      <x:c r="I23" s="28" t="str">
        <x:v>Actual architecture, security tier, data residency, support and usage determine cost; obtain vendor quotes.</x:v>
      </x:c>
      <x:c r="J23" s="339"/>
      <x:c r="K23" s="339"/>
      <x:c r="L23" s="339"/>
      <x:c r="M23" s="339"/>
      <x:c r="N23" s="339"/>
      <x:c r="O23" s="339"/>
      <x:c r="P23" s="339"/>
      <x:c r="Q23" s="339"/>
      <x:c r="R23" s="339"/>
      <x:c r="S23" s="339"/>
      <x:c r="T23" s="339"/>
      <x:c r="U23" s="1194"/>
      <x:c r="V23" s="1194"/>
      <x:c r="W23" s="1194"/>
      <x:c r="X23" s="1194"/>
      <x:c r="Y23" s="339"/>
      <x:c r="Z23" s="339"/>
    </x:row>
    <x:row r="24">
      <x:c r="A24" s="30" t="str">
        <x:v>S20</x:v>
      </x:c>
      <x:c r="B24" s="28" t="str">
        <x:v>NZISM cloud computing guidance</x:v>
      </x:c>
      <x:c r="C24" s="28" t="str">
        <x:v>GCSB / NCSC</x:v>
      </x:c>
      <x:c r="D24" s="28" t="str">
        <x:v>Current</x:v>
      </x:c>
      <x:c r="E24" s="32" t="str">
        <x:v>https://nzism.gcsb.govt.nz/resources/faq/cloud-computing</x:v>
      </x:c>
      <x:c r="F24" s="28" t="str">
        <x:v>Official guidance</x:v>
      </x:c>
      <x:c r="G24" s="28" t="str">
        <x:v>Cloud risk assessment</x:v>
      </x:c>
      <x:c r="H24" s="28" t="str">
        <x:v>High</x:v>
      </x:c>
      <x:c r="I24" s="28" t="str">
        <x:v>Cloud use requires case-by-case security risk assessment.</x:v>
      </x:c>
      <x:c r="J24" s="339"/>
      <x:c r="K24" s="339"/>
      <x:c r="L24" s="339"/>
      <x:c r="M24" s="339"/>
      <x:c r="N24" s="339"/>
      <x:c r="O24" s="339"/>
      <x:c r="P24" s="339"/>
      <x:c r="Q24" s="339"/>
      <x:c r="R24" s="339"/>
      <x:c r="S24" s="339"/>
      <x:c r="T24" s="339"/>
      <x:c r="U24" s="1194"/>
      <x:c r="V24" s="1194"/>
      <x:c r="W24" s="1194"/>
      <x:c r="X24" s="1194"/>
      <x:c r="Y24" s="339"/>
      <x:c r="Z24" s="339"/>
    </x:row>
    <x:row r="25">
      <x:c r="A25" s="30" t="str">
        <x:v>S21</x:v>
      </x:c>
      <x:c r="B25" s="28" t="str">
        <x:v>CBAx model — October 2025</x:v>
      </x:c>
      <x:c r="C25" s="28" t="str">
        <x:v>New Zealand Treasury</x:v>
      </x:c>
      <x:c r="D25" s="28" t="str">
        <x:v>October 2025</x:v>
      </x:c>
      <x:c r="E25" s="32" t="str">
        <x:v>https://www.treasury.govt.nz/sites/default/files/2025-11/cbax-model-oct25.xlsx</x:v>
      </x:c>
      <x:c r="F25" s="28" t="str">
        <x:v>Official data workbook</x:v>
      </x:c>
      <x:c r="G25" s="28" t="str">
        <x:v>Optional downstream impact values</x:v>
      </x:c>
      <x:c r="H25" s="28" t="str">
        <x:v>High</x:v>
      </x:c>
      <x:c r="I25" s="28" t="str">
        <x:v>Optional values are excluded from headline benefits to avoid double counting and weak causal attribution.</x:v>
      </x:c>
      <x:c r="J25" s="339"/>
      <x:c r="K25" s="339"/>
      <x:c r="L25" s="339"/>
      <x:c r="M25" s="339"/>
      <x:c r="N25" s="339"/>
      <x:c r="O25" s="339"/>
      <x:c r="P25" s="339"/>
      <x:c r="Q25" s="339"/>
      <x:c r="R25" s="339"/>
      <x:c r="S25" s="339"/>
      <x:c r="T25" s="339"/>
      <x:c r="U25" s="1194"/>
      <x:c r="V25" s="1194"/>
      <x:c r="W25" s="1194"/>
      <x:c r="X25" s="1194"/>
      <x:c r="Y25" s="339"/>
      <x:c r="Z25" s="339"/>
    </x:row>
    <x:row r="26">
      <x:c r="A26" s="30" t="str">
        <x:v>S22</x:v>
      </x:c>
      <x:c r="B26" s="28" t="str">
        <x:v>NZ Police Vetting Service</x:v>
      </x:c>
      <x:c r="C26" s="28" t="str">
        <x:v>New Zealand Police</x:v>
      </x:c>
      <x:c r="D26" s="28" t="str">
        <x:v>June 2026</x:v>
      </x:c>
      <x:c r="E26" s="32" t="str">
        <x:v>https://www.police.govt.nz/advice-services/businesses-and-organisations/nz-police-vetting-service</x:v>
      </x:c>
      <x:c r="F26" s="28" t="str">
        <x:v>Official service information</x:v>
      </x:c>
      <x:c r="G26" s="28" t="str">
        <x:v>Vetting process and future fee risk</x:v>
      </x:c>
      <x:c r="H26" s="28" t="str">
        <x:v>High</x:v>
      </x:c>
      <x:c r="I26" s="28" t="str">
        <x:v>Only authorised agencies can submit vets.</x:v>
      </x:c>
      <x:c r="J26" s="339"/>
      <x:c r="K26" s="339"/>
      <x:c r="L26" s="339"/>
      <x:c r="M26" s="339"/>
      <x:c r="N26" s="339"/>
      <x:c r="O26" s="339"/>
      <x:c r="P26" s="339"/>
      <x:c r="Q26" s="339"/>
      <x:c r="R26" s="339"/>
      <x:c r="S26" s="339"/>
      <x:c r="T26" s="339"/>
      <x:c r="U26" s="1194"/>
      <x:c r="V26" s="1194"/>
      <x:c r="W26" s="1194"/>
      <x:c r="X26" s="1194"/>
      <x:c r="Y26" s="339"/>
      <x:c r="Z26" s="339"/>
    </x:row>
    <x:row r="27">
      <x:c r="A27" s="30" t="str">
        <x:v>S23</x:v>
      </x:c>
      <x:c r="B27" s="28" t="str">
        <x:v>Managing Benefits from Projects and Programmes</x:v>
      </x:c>
      <x:c r="C27" s="28" t="str">
        <x:v>New Zealand Treasury</x:v>
      </x:c>
      <x:c r="D27" s="28" t="str">
        <x:v>October 2024</x:v>
      </x:c>
      <x:c r="E27" s="32" t="str">
        <x:v>https://www.treasury.govt.nz/publications/guide/managing-benefits-projects-and-programmes-better-business-cases</x:v>
      </x:c>
      <x:c r="F27" s="28" t="str">
        <x:v>Official guidance</x:v>
      </x:c>
      <x:c r="G27" s="28" t="str">
        <x:v>Benefits register and realisation discipline</x:v>
      </x:c>
      <x:c r="H27" s="28" t="str">
        <x:v>High</x:v>
      </x:c>
      <x:c r="I27" s="28" t="str">
        <x:v>Benefits require owners, measures, baselines and realisation plans.</x:v>
      </x:c>
      <x:c r="J27" s="339"/>
      <x:c r="K27" s="339"/>
      <x:c r="L27" s="339"/>
      <x:c r="M27" s="339"/>
      <x:c r="N27" s="339"/>
      <x:c r="O27" s="339"/>
      <x:c r="P27" s="339"/>
      <x:c r="Q27" s="339"/>
      <x:c r="R27" s="339"/>
      <x:c r="S27" s="339"/>
      <x:c r="T27" s="339"/>
      <x:c r="U27" s="1194"/>
      <x:c r="V27" s="1194"/>
      <x:c r="W27" s="1194"/>
      <x:c r="X27" s="1194"/>
      <x:c r="Y27" s="339"/>
      <x:c r="Z27" s="339"/>
    </x:row>
    <x:row r="28">
      <x:c r="A28" s="34" t="str">
        <x:v>A01</x:v>
      </x:c>
      <x:c r="B28" s="35" t="str">
        <x:v>Transparent professional-services allowance</x:v>
      </x:c>
      <x:c r="C28" s="35" t="str">
        <x:v>Model assumption</x:v>
      </x:c>
      <x:c r="D28" s="35" t="str">
        <x:v>July 2026</x:v>
      </x:c>
      <x:c r="E28" s="36" t="str">
        <x:v>No public quote — replace with procurement evidence</x:v>
      </x:c>
      <x:c r="F28" s="35" t="str">
        <x:v>Model assumption</x:v>
      </x:c>
      <x:c r="G28" s="35" t="str">
        <x:v>Consulting, legal, evaluation, security and integration hours</x:v>
      </x:c>
      <x:c r="H28" s="35" t="str">
        <x:v>Low</x:v>
      </x:c>
      <x:c r="I28" s="35" t="str">
        <x:v>Uses explicit hours × blended rate; not evidence of a supplier price.</x:v>
      </x:c>
      <x:c r="J28" s="339"/>
      <x:c r="K28" s="339"/>
      <x:c r="L28" s="339"/>
      <x:c r="M28" s="339"/>
      <x:c r="N28" s="339"/>
      <x:c r="O28" s="339"/>
      <x:c r="P28" s="339"/>
      <x:c r="Q28" s="339"/>
      <x:c r="R28" s="339"/>
      <x:c r="S28" s="339"/>
      <x:c r="T28" s="339"/>
      <x:c r="U28" s="1194"/>
      <x:c r="V28" s="1194"/>
      <x:c r="W28" s="1194"/>
      <x:c r="X28" s="1194"/>
      <x:c r="Y28" s="339"/>
      <x:c r="Z28" s="339"/>
    </x:row>
    <x:row r="29">
      <x:c r="A29" s="34" t="str">
        <x:v>A02</x:v>
      </x:c>
      <x:c r="B29" s="35" t="str">
        <x:v>Co-design, hui and participant-access allowance</x:v>
      </x:c>
      <x:c r="C29" s="35" t="str">
        <x:v>Model assumption</x:v>
      </x:c>
      <x:c r="D29" s="35" t="str">
        <x:v>July 2026</x:v>
      </x:c>
      <x:c r="E29" s="36" t="str">
        <x:v>No public quote — obtain iwi, Pacific, youth and accessibility partner estimates</x:v>
      </x:c>
      <x:c r="F29" s="35" t="str">
        <x:v>Model assumption</x:v>
      </x:c>
      <x:c r="G29" s="35" t="str">
        <x:v>Co-design workshops, honoraria, travel and accessibility</x:v>
      </x:c>
      <x:c r="H29" s="35" t="str">
        <x:v>Low</x:v>
      </x:c>
      <x:c r="I29" s="35" t="str">
        <x:v>Must be co-designed; treating this as a fixed price would be inappropriate.</x:v>
      </x:c>
      <x:c r="J29" s="339"/>
      <x:c r="K29" s="339"/>
      <x:c r="L29" s="339"/>
      <x:c r="M29" s="339"/>
      <x:c r="N29" s="339"/>
      <x:c r="O29" s="339"/>
      <x:c r="P29" s="339"/>
      <x:c r="Q29" s="339"/>
      <x:c r="R29" s="339"/>
      <x:c r="S29" s="339"/>
      <x:c r="T29" s="339"/>
      <x:c r="U29" s="1194"/>
      <x:c r="V29" s="1194"/>
      <x:c r="W29" s="1194"/>
      <x:c r="X29" s="1194"/>
      <x:c r="Y29" s="339"/>
      <x:c r="Z29" s="339"/>
    </x:row>
    <x:row r="30">
      <x:c r="A30" s="34" t="str">
        <x:v>A03</x:v>
      </x:c>
      <x:c r="B30" s="35" t="str">
        <x:v>School capacity and readiness grant allowance</x:v>
      </x:c>
      <x:c r="C30" s="35" t="str">
        <x:v>Model assumption</x:v>
      </x:c>
      <x:c r="D30" s="35" t="str">
        <x:v>July 2026</x:v>
      </x:c>
      <x:c r="E30" s="36" t="str">
        <x:v>No public quote — validate with participating schools</x:v>
      </x:c>
      <x:c r="F30" s="35" t="str">
        <x:v>Policy allowance</x:v>
      </x:c>
      <x:c r="G30" s="35" t="str">
        <x:v>School readiness, comparison-school burden and implementation capacity</x:v>
      </x:c>
      <x:c r="H30" s="35" t="str">
        <x:v>Low</x:v>
      </x:c>
      <x:c r="I30" s="35" t="str">
        <x:v>Requires school-level workload testing in Year 0.</x:v>
      </x:c>
      <x:c r="J30" s="339"/>
      <x:c r="K30" s="339"/>
      <x:c r="L30" s="339"/>
      <x:c r="M30" s="339"/>
      <x:c r="N30" s="339"/>
      <x:c r="O30" s="339"/>
      <x:c r="P30" s="339"/>
      <x:c r="Q30" s="339"/>
      <x:c r="R30" s="339"/>
      <x:c r="S30" s="339"/>
      <x:c r="T30" s="339"/>
      <x:c r="U30" s="1194"/>
      <x:c r="V30" s="1194"/>
      <x:c r="W30" s="1194"/>
      <x:c r="X30" s="1194"/>
      <x:c r="Y30" s="339"/>
      <x:c r="Z30" s="339"/>
    </x:row>
    <x:row r="31">
      <x:c r="A31" s="34" t="str">
        <x:v>A04</x:v>
      </x:c>
      <x:c r="B31" s="35" t="str">
        <x:v>Technology delivery allowance</x:v>
      </x:c>
      <x:c r="C31" s="35" t="str">
        <x:v>Model assumption</x:v>
      </x:c>
      <x:c r="D31" s="35" t="str">
        <x:v>July 2026</x:v>
      </x:c>
      <x:c r="E31" s="36" t="str">
        <x:v>Role-based hours plus vendor pricing references S09–S13 and S19</x:v>
      </x:c>
      <x:c r="F31" s="35" t="str">
        <x:v>Model assumption</x:v>
      </x:c>
      <x:c r="G31" s="35" t="str">
        <x:v>Platform build, integrations, cloud and support</x:v>
      </x:c>
      <x:c r="H31" s="35" t="str">
        <x:v>Low-Medium</x:v>
      </x:c>
      <x:c r="I31" s="35" t="str">
        <x:v>Must be replaced by architecture, build-vs-buy analysis and competitive quotes.</x:v>
      </x:c>
      <x:c r="J31" s="339"/>
      <x:c r="K31" s="339"/>
      <x:c r="L31" s="339"/>
      <x:c r="M31" s="339"/>
      <x:c r="N31" s="339"/>
      <x:c r="O31" s="339"/>
      <x:c r="P31" s="339"/>
      <x:c r="Q31" s="339"/>
      <x:c r="R31" s="339"/>
      <x:c r="S31" s="339"/>
      <x:c r="T31" s="339"/>
      <x:c r="U31" s="1194"/>
      <x:c r="V31" s="1194"/>
      <x:c r="W31" s="1194"/>
      <x:c r="X31" s="1194"/>
      <x:c r="Y31" s="339"/>
      <x:c r="Z31" s="339"/>
    </x:row>
    <x:row r="32">
      <x:c r="A32" s="34" t="str">
        <x:v>A05</x:v>
      </x:c>
      <x:c r="B32" s="35" t="str">
        <x:v>Payment administration allowance</x:v>
      </x:c>
      <x:c r="C32" s="35" t="str">
        <x:v>Model assumption</x:v>
      </x:c>
      <x:c r="D32" s="35" t="str">
        <x:v>July 2026</x:v>
      </x:c>
      <x:c r="E32" s="36" t="str">
        <x:v>No public quote — formal MSD/StudyLink estimate required</x:v>
      </x:c>
      <x:c r="F32" s="35" t="str">
        <x:v>Model assumption</x:v>
      </x:c>
      <x:c r="G32" s="35" t="str">
        <x:v>Payment calculation, reconciliation and Learning Capital Account administration</x:v>
      </x:c>
      <x:c r="H32" s="35" t="str">
        <x:v>Low</x:v>
      </x:c>
      <x:c r="I32" s="35" t="str">
        <x:v>Potentially material; the current value is only a budgetary placeholder.</x:v>
      </x:c>
      <x:c r="J32" s="339"/>
      <x:c r="K32" s="339"/>
      <x:c r="L32" s="339"/>
      <x:c r="M32" s="339"/>
      <x:c r="N32" s="339"/>
      <x:c r="O32" s="339"/>
      <x:c r="P32" s="339"/>
      <x:c r="Q32" s="339"/>
      <x:c r="R32" s="339"/>
      <x:c r="S32" s="339"/>
      <x:c r="T32" s="339"/>
      <x:c r="U32" s="1194"/>
      <x:c r="V32" s="1194"/>
      <x:c r="W32" s="1194"/>
      <x:c r="X32" s="1194"/>
      <x:c r="Y32" s="339"/>
      <x:c r="Z32" s="339"/>
    </x:row>
    <x:row r="33">
      <x:c r="A33" s="34" t="str">
        <x:v>A06</x:v>
      </x:c>
      <x:c r="B33" s="35" t="str">
        <x:v>Stipend utilisation assumption</x:v>
      </x:c>
      <x:c r="C33" s="35" t="str">
        <x:v>Model assumption</x:v>
      </x:c>
      <x:c r="D33" s="35" t="str">
        <x:v>July 2026</x:v>
      </x:c>
      <x:c r="E33" s="36" t="str">
        <x:v>Programme design assumption from uploaded proposal</x:v>
      </x:c>
      <x:c r="F33" s="35" t="str">
        <x:v>Policy assumption</x:v>
      </x:c>
      <x:c r="G33" s="35" t="str">
        <x:v>Payment calculation, reconciliation and Learning Capital Account administration</x:v>
      </x:c>
      <x:c r="H33" s="35" t="str">
        <x:v>Low</x:v>
      </x:c>
      <x:c r="I33" s="35" t="str">
        <x:v>This is a behavioural assumption and one of the largest cost drivers.</x:v>
      </x:c>
      <x:c r="J33" s="339"/>
      <x:c r="K33" s="339"/>
      <x:c r="L33" s="339"/>
      <x:c r="M33" s="339"/>
      <x:c r="N33" s="339"/>
      <x:c r="O33" s="339"/>
      <x:c r="P33" s="339"/>
      <x:c r="Q33" s="339"/>
      <x:c r="R33" s="339"/>
      <x:c r="S33" s="339"/>
      <x:c r="T33" s="339"/>
      <x:c r="U33" s="1194"/>
      <x:c r="V33" s="1194"/>
      <x:c r="W33" s="1194"/>
      <x:c r="X33" s="1194"/>
      <x:c r="Y33" s="339"/>
      <x:c r="Z33" s="339"/>
    </x:row>
    <x:row r="34">
      <x:c r="A34" s="34" t="str">
        <x:v>A07</x:v>
      </x:c>
      <x:c r="B34" s="35" t="str">
        <x:v>National school-count and cohort alignment</x:v>
      </x:c>
      <x:c r="C34" s="35" t="str">
        <x:v>Model assumption</x:v>
      </x:c>
      <x:c r="D34" s="35" t="str">
        <x:v>July 2026</x:v>
      </x:c>
      <x:c r="E34" s="36" t="str">
        <x:v>Policy specification supplied by the author</x:v>
      </x:c>
      <x:c r="F34" s="35" t="str">
        <x:v>Model assumption</x:v>
      </x:c>
      <x:c r="G34" s="35" t="str">
        <x:v>National rollout sizing</x:v>
      </x:c>
      <x:c r="H34" s="35" t="str">
        <x:v>Low-Medium</x:v>
      </x:c>
      <x:c r="I34" s="35" t="str">
        <x:v>Replace with an exact Year 9–13 roll and eligible-school count.</x:v>
      </x:c>
      <x:c r="J34" s="339"/>
      <x:c r="K34" s="339"/>
      <x:c r="L34" s="339"/>
      <x:c r="M34" s="339"/>
      <x:c r="N34" s="339"/>
      <x:c r="O34" s="339"/>
      <x:c r="P34" s="339"/>
      <x:c r="Q34" s="339"/>
      <x:c r="R34" s="339"/>
      <x:c r="S34" s="339"/>
      <x:c r="T34" s="339"/>
      <x:c r="U34" s="1194"/>
      <x:c r="V34" s="1194"/>
      <x:c r="W34" s="1194"/>
      <x:c r="X34" s="1194"/>
      <x:c r="Y34" s="339"/>
      <x:c r="Z34" s="339"/>
    </x:row>
    <x:row r="35">
      <x:c r="A35" s="339"/>
      <x:c r="B35" s="339"/>
      <x:c r="C35" s="339"/>
      <x:c r="D35" s="339"/>
      <x:c r="E35" s="339"/>
      <x:c r="F35" s="339"/>
      <x:c r="G35" s="339"/>
      <x:c r="H35" s="339"/>
      <x:c r="I35" s="339"/>
      <x:c r="J35" s="339"/>
      <x:c r="K35" s="339"/>
      <x:c r="L35" s="339"/>
      <x:c r="M35" s="339"/>
      <x:c r="N35" s="339"/>
      <x:c r="O35" s="339"/>
      <x:c r="P35" s="339"/>
      <x:c r="Q35" s="339"/>
      <x:c r="R35" s="339"/>
      <x:c r="S35" s="339"/>
      <x:c r="T35" s="339"/>
      <x:c r="U35" s="1194"/>
      <x:c r="V35" s="1194"/>
      <x:c r="W35" s="1194"/>
      <x:c r="X35" s="1194"/>
      <x:c r="Y35" s="339"/>
      <x:c r="Z35" s="339"/>
    </x:row>
    <x:row r="36">
      <x:c r="A36" s="339"/>
      <x:c r="B36" s="339"/>
      <x:c r="C36" s="339"/>
      <x:c r="D36" s="339"/>
      <x:c r="E36" s="339"/>
      <x:c r="F36" s="339"/>
      <x:c r="G36" s="339"/>
      <x:c r="H36" s="339"/>
      <x:c r="I36" s="339"/>
      <x:c r="J36" s="339"/>
      <x:c r="K36" s="339"/>
      <x:c r="L36" s="339"/>
      <x:c r="M36" s="339"/>
      <x:c r="N36" s="339"/>
      <x:c r="O36" s="339"/>
      <x:c r="P36" s="339"/>
      <x:c r="Q36" s="339"/>
      <x:c r="R36" s="339"/>
      <x:c r="S36" s="339"/>
      <x:c r="T36" s="339"/>
      <x:c r="U36" s="1194"/>
      <x:c r="V36" s="1194"/>
      <x:c r="W36" s="1194"/>
      <x:c r="X36" s="1194"/>
      <x:c r="Y36" s="339"/>
      <x:c r="Z36" s="339"/>
    </x:row>
    <x:row r="37">
      <x:c r="A37" s="339"/>
      <x:c r="B37" s="339"/>
      <x:c r="C37" s="339"/>
      <x:c r="D37" s="339"/>
      <x:c r="E37" s="339"/>
      <x:c r="F37" s="339"/>
      <x:c r="G37" s="339"/>
      <x:c r="H37" s="339"/>
      <x:c r="I37" s="339"/>
      <x:c r="J37" s="339"/>
      <x:c r="K37" s="339"/>
      <x:c r="L37" s="339"/>
      <x:c r="M37" s="339"/>
      <x:c r="N37" s="339"/>
      <x:c r="O37" s="339"/>
      <x:c r="P37" s="339"/>
      <x:c r="Q37" s="339"/>
      <x:c r="R37" s="339"/>
      <x:c r="S37" s="339"/>
      <x:c r="T37" s="339"/>
      <x:c r="U37" s="1194"/>
      <x:c r="V37" s="1194"/>
      <x:c r="W37" s="1194"/>
      <x:c r="X37" s="1194"/>
      <x:c r="Y37" s="339"/>
      <x:c r="Z37" s="339"/>
    </x:row>
    <x:row r="38">
      <x:c r="A38" s="339"/>
      <x:c r="B38" s="339"/>
      <x:c r="C38" s="339"/>
      <x:c r="D38" s="339"/>
      <x:c r="E38" s="339"/>
      <x:c r="F38" s="339"/>
      <x:c r="G38" s="339"/>
      <x:c r="H38" s="339"/>
      <x:c r="I38" s="339"/>
      <x:c r="J38" s="339"/>
      <x:c r="K38" s="339"/>
      <x:c r="L38" s="339"/>
      <x:c r="M38" s="339"/>
      <x:c r="N38" s="339"/>
      <x:c r="O38" s="339"/>
      <x:c r="P38" s="339"/>
      <x:c r="Q38" s="339"/>
      <x:c r="R38" s="339"/>
      <x:c r="S38" s="339"/>
      <x:c r="T38" s="339"/>
      <x:c r="U38" s="1194"/>
      <x:c r="V38" s="1194"/>
      <x:c r="W38" s="1194"/>
      <x:c r="X38" s="1194"/>
      <x:c r="Y38" s="339"/>
      <x:c r="Z38" s="339"/>
    </x:row>
    <x:row r="39">
      <x:c r="A39" s="30" t="str">
        <x:v>S24</x:v>
      </x:c>
      <x:c r="B39" s="28" t="str">
        <x:v>Student Loan Scheme Annual Report 2024/25</x:v>
      </x:c>
      <x:c r="C39" s="28" t="str">
        <x:v>Ministry of Education, Inland Revenue, MSD and Stats NZ</x:v>
      </x:c>
      <x:c r="D39" s="28" t="str">
        <x:v>December 2025</x:v>
      </x:c>
      <x:c r="E39" s="32" t="str">
        <x:v>https://www.educationcounts.govt.nz/__data/assets/pdf_file/0019/251326/Student-Loan-Scheme-annual-report-2024-25.pdf</x:v>
      </x:c>
      <x:c r="F39" s="28" t="str">
        <x:v>Audited official report</x:v>
      </x:c>
      <x:c r="G39" s="28" t="str">
        <x:v>Lending, write-down, fair value, repayment times, debt, cost of capital and agency costs</x:v>
      </x:c>
      <x:c r="H39" s="28" t="str">
        <x:v>High</x:v>
      </x:c>
      <x:c r="I39" s="28" t="str">
        <x:v>The official fair-value cost per dollar is the central Crown measure.</x:v>
      </x:c>
      <x:c r="J39" s="339"/>
      <x:c r="K39" s="339"/>
      <x:c r="L39" s="339"/>
      <x:c r="M39" s="339"/>
      <x:c r="N39" s="339"/>
      <x:c r="O39" s="339"/>
      <x:c r="P39" s="339"/>
      <x:c r="Q39" s="339"/>
      <x:c r="R39" s="339"/>
      <x:c r="S39" s="339"/>
      <x:c r="T39" s="339"/>
      <x:c r="U39" s="1194"/>
      <x:c r="V39" s="1194"/>
      <x:c r="W39" s="1194"/>
      <x:c r="X39" s="1194"/>
      <x:c r="Y39" s="339"/>
      <x:c r="Z39" s="339"/>
    </x:row>
    <x:row r="40">
      <x:c r="A40" s="30" t="str">
        <x:v>S25</x:v>
      </x:c>
      <x:c r="B40" s="28" t="str">
        <x:v>Student loans — Note 6 to the non-departmental financial schedules</x:v>
      </x:c>
      <x:c r="C40" s="28" t="str">
        <x:v>Inland Revenue</x:v>
      </x:c>
      <x:c r="D40" s="28" t="str">
        <x:v>19 November 2025</x:v>
      </x:c>
      <x:c r="E40" s="32" t="str">
        <x:v>https://www.ird.govt.nz/about-us/publications/annual-corporate-reports/annual-report/annual-report-2025/financial-statements-and-schedules/non-departmental-financial-schedules/notes-to-the-non-departmental-financial-schedules/note-6---student-loans</x:v>
      </x:c>
      <x:c r="F40" s="28" t="str">
        <x:v>Audited official note</x:v>
      </x:c>
      <x:c r="G40" s="28" t="str">
        <x:v>Actuarial fair-value methodology, risk and macroeconomic assumptions</x:v>
      </x:c>
      <x:c r="H40" s="28" t="str">
        <x:v>High</x:v>
      </x:c>
      <x:c r="I40" s="28" t="str">
        <x:v>The valuation is level 3 and inherently uncertain.</x:v>
      </x:c>
      <x:c r="J40" s="339"/>
      <x:c r="K40" s="339"/>
      <x:c r="L40" s="339"/>
      <x:c r="M40" s="339"/>
      <x:c r="N40" s="339"/>
      <x:c r="O40" s="339"/>
      <x:c r="P40" s="339"/>
      <x:c r="Q40" s="339"/>
      <x:c r="R40" s="339"/>
      <x:c r="S40" s="339"/>
      <x:c r="T40" s="339"/>
      <x:c r="U40" s="1194"/>
      <x:c r="V40" s="1194"/>
      <x:c r="W40" s="1194"/>
      <x:c r="X40" s="1194"/>
      <x:c r="Y40" s="339"/>
      <x:c r="Z40" s="339"/>
    </x:row>
    <x:row r="41">
      <x:c r="A41" s="30" t="str">
        <x:v>S26</x:v>
      </x:c>
      <x:c r="B41" s="28" t="str">
        <x:v>Discount rates and CPI assumptions for accounting valuation purposes</x:v>
      </x:c>
      <x:c r="C41" s="28" t="str">
        <x:v>New Zealand Treasury</x:v>
      </x:c>
      <x:c r="D41" s="28" t="str">
        <x:v>30 June 2026</x:v>
      </x:c>
      <x:c r="E41" s="32" t="str">
        <x:v>https://www.treasury.govt.nz/information-and-services/public-sector-leadership/guidance/reporting-financial/discount-rates/discount-rates-and-cpi-assumptions-accounting-valuation-purposes</x:v>
      </x:c>
      <x:c r="F41" s="28" t="str">
        <x:v>Official accounting guidance</x:v>
      </x:c>
      <x:c r="G41" s="28" t="str">
        <x:v>Annual CPI and risk-free forward curves</x:v>
      </x:c>
      <x:c r="H41" s="28" t="str">
        <x:v>High, subject to auditor confirmation</x:v>
      </x:c>
      <x:c r="I41" s="28" t="str">
        <x:v>Treasury stated on 3 July 2026 that auditor confirmation was pending.</x:v>
      </x:c>
      <x:c r="J41" s="339"/>
      <x:c r="K41" s="339"/>
      <x:c r="L41" s="339"/>
      <x:c r="M41" s="339"/>
      <x:c r="N41" s="339"/>
      <x:c r="O41" s="339"/>
      <x:c r="P41" s="339"/>
      <x:c r="Q41" s="339"/>
      <x:c r="R41" s="339"/>
      <x:c r="S41" s="339"/>
      <x:c r="T41" s="339"/>
      <x:c r="U41" s="1194"/>
      <x:c r="V41" s="1194"/>
      <x:c r="W41" s="1194"/>
      <x:c r="X41" s="1194"/>
      <x:c r="Y41" s="339"/>
      <x:c r="Z41" s="339"/>
    </x:row>
    <x:row r="42">
      <x:c r="A42" s="30" t="str">
        <x:v>S27</x:v>
      </x:c>
      <x:c r="B42" s="28" t="str">
        <x:v>Prices M1 — CPI historical series</x:v>
      </x:c>
      <x:c r="C42" s="28" t="str">
        <x:v>Reserve Bank of New Zealand / Stats NZ</x:v>
      </x:c>
      <x:c r="D42" s="28" t="str">
        <x:v>Released 18 June 2026</x:v>
      </x:c>
      <x:c r="E42" s="32" t="str">
        <x:v>https://www.rbnz.govt.nz/-/media/project/sites/rbnz/files/statistics/series/m/m1/hm1.xlsx</x:v>
      </x:c>
      <x:c r="F42" s="28" t="str">
        <x:v>Official data series</x:v>
      </x:c>
      <x:c r="G42" s="28" t="str">
        <x:v>Ten- and twenty-year geometric CPI calculations</x:v>
      </x:c>
      <x:c r="H42" s="28" t="str">
        <x:v>High</x:v>
      </x:c>
      <x:c r="I42" s="28" t="str">
        <x:v>CPI anchors: March 2006 803; March 2016 979; March 2026 1339.</x:v>
      </x:c>
      <x:c r="J42" s="339"/>
      <x:c r="K42" s="339"/>
      <x:c r="L42" s="339"/>
      <x:c r="M42" s="339"/>
      <x:c r="N42" s="339"/>
      <x:c r="O42" s="339"/>
      <x:c r="P42" s="339"/>
      <x:c r="Q42" s="339"/>
      <x:c r="R42" s="339"/>
      <x:c r="S42" s="339"/>
      <x:c r="T42" s="339"/>
      <x:c r="U42" s="1194"/>
      <x:c r="V42" s="1194"/>
      <x:c r="W42" s="1194"/>
      <x:c r="X42" s="1194"/>
      <x:c r="Y42" s="339"/>
      <x:c r="Z42" s="339"/>
    </x:row>
    <x:row r="43">
      <x:c r="A43" s="30" t="str">
        <x:v>S28</x:v>
      </x:c>
      <x:c r="B43" s="28" t="str">
        <x:v>Portfolio investment entity income and prescribed investor rates</x:v>
      </x:c>
      <x:c r="C43" s="28" t="str">
        <x:v>Inland Revenue</x:v>
      </x:c>
      <x:c r="D43" s="28" t="str">
        <x:v>2025–2026 tax guidance</x:v>
      </x:c>
      <x:c r="E43" s="32" t="str">
        <x:v>https://www.ird.govt.nz/income-tax/income-tax-for-individuals/types-of-individual-income/portfolio-investment-entity-income-for-individuals/nz-residents</x:v>
      </x:c>
      <x:c r="F43" s="28" t="str">
        <x:v>Official tax guidance</x:v>
      </x:c>
      <x:c r="G43" s="28" t="str">
        <x:v>Investment-tax scenario and legal design questions</x:v>
      </x:c>
      <x:c r="H43" s="28" t="str">
        <x:v>High for general rules</x:v>
      </x:c>
      <x:c r="I43" s="28" t="str">
        <x:v>Actual account tax treatment depends on legal owner, beneficial owner and provider structure.</x:v>
      </x:c>
      <x:c r="J43" s="339"/>
      <x:c r="K43" s="339"/>
      <x:c r="L43" s="339"/>
      <x:c r="M43" s="339"/>
      <x:c r="N43" s="339"/>
      <x:c r="O43" s="339"/>
      <x:c r="P43" s="339"/>
      <x:c r="Q43" s="339"/>
      <x:c r="R43" s="339"/>
      <x:c r="S43" s="339"/>
      <x:c r="T43" s="339"/>
      <x:c r="U43" s="1194"/>
      <x:c r="V43" s="1194"/>
      <x:c r="W43" s="1194"/>
      <x:c r="X43" s="1194"/>
      <x:c r="Y43" s="339"/>
      <x:c r="Z43" s="339"/>
    </x:row>
    <x:row r="44">
      <x:c r="A44" s="30" t="str">
        <x:v>S29</x:v>
      </x:c>
      <x:c r="B44" s="28" t="str">
        <x:v>Managed investment scheme manager requirements</x:v>
      </x:c>
      <x:c r="C44" s="28" t="str">
        <x:v>Financial Markets Authority</x:v>
      </x:c>
      <x:c r="D44" s="28" t="str">
        <x:v>Current statutory guidance</x:v>
      </x:c>
      <x:c r="E44" s="32" t="str">
        <x:v>https://www.fma.govt.nz/business/services/mis-manager/</x:v>
      </x:c>
      <x:c r="F44" s="28" t="str">
        <x:v>Official regulatory guidance</x:v>
      </x:c>
      <x:c r="G44" s="28" t="str">
        <x:v>Provider regulation, disclosure, custody and participant reporting</x:v>
      </x:c>
      <x:c r="H44" s="28" t="str">
        <x:v>High</x:v>
      </x:c>
      <x:c r="I44" s="28" t="str">
        <x:v>Specialist legal advice and competitive procurement remain necessary.</x:v>
      </x:c>
      <x:c r="J44" s="339"/>
      <x:c r="K44" s="339"/>
      <x:c r="L44" s="339"/>
      <x:c r="M44" s="339"/>
      <x:c r="N44" s="339"/>
      <x:c r="O44" s="339"/>
      <x:c r="P44" s="339"/>
      <x:c r="Q44" s="339"/>
      <x:c r="R44" s="339"/>
      <x:c r="S44" s="339"/>
      <x:c r="T44" s="339"/>
      <x:c r="U44" s="1194"/>
      <x:c r="V44" s="1194"/>
      <x:c r="W44" s="1194"/>
      <x:c r="X44" s="1194"/>
      <x:c r="Y44" s="339"/>
      <x:c r="Z44" s="339"/>
    </x:row>
    <x:row r="45">
      <x:c r="A45" s="30" t="str">
        <x:v>S30</x:v>
      </x:c>
      <x:c r="B45" s="28" t="str">
        <x:v>Managed fund fees and value for money</x:v>
      </x:c>
      <x:c r="C45" s="28" t="str">
        <x:v>Financial Markets Authority</x:v>
      </x:c>
      <x:c r="D45" s="28" t="str">
        <x:v>April 2021</x:v>
      </x:c>
      <x:c r="E45" s="32" t="str">
        <x:v>https://www.fma.govt.nz/library/guidance-library/managed-fund-fees-value-for-money/</x:v>
      </x:c>
      <x:c r="F45" s="28" t="str">
        <x:v>Official regulatory guidance</x:v>
      </x:c>
      <x:c r="G45" s="28" t="str">
        <x:v>Low-fee procurement and value-for-money controls</x:v>
      </x:c>
      <x:c r="H45" s="28" t="str">
        <x:v>High</x:v>
      </x:c>
      <x:c r="I45" s="28" t="str">
        <x:v>No commercial provider is endorsed by this model.</x:v>
      </x:c>
      <x:c r="J45" s="339"/>
      <x:c r="K45" s="339"/>
      <x:c r="L45" s="339"/>
      <x:c r="M45" s="339"/>
      <x:c r="N45" s="339"/>
      <x:c r="O45" s="339"/>
      <x:c r="P45" s="339"/>
      <x:c r="Q45" s="339"/>
      <x:c r="R45" s="339"/>
      <x:c r="S45" s="339"/>
      <x:c r="T45" s="339"/>
      <x:c r="U45" s="1194"/>
      <x:c r="V45" s="1194"/>
      <x:c r="W45" s="1194"/>
      <x:c r="X45" s="1194"/>
      <x:c r="Y45" s="339"/>
      <x:c r="Z45" s="339"/>
    </x:row>
    <x:row r="46">
      <x:c r="A46" s="30" t="str">
        <x:v>S31</x:v>
      </x:c>
      <x:c r="B46" s="28" t="str">
        <x:v>Annual Report 2024/25</x:v>
      </x:c>
      <x:c r="C46" s="28" t="str">
        <x:v>Department of Corrections</x:v>
      </x:c>
      <x:c r="D46" s="28" t="str">
        <x:v>September 2025</x:v>
      </x:c>
      <x:c r="E46" s="32" t="str">
        <x:v>https://www.corrections.govt.nz/__data/assets/pdf_file/0003/64920/Annual_Report_2024-2025.pdf</x:v>
      </x:c>
      <x:c r="F46" s="28" t="str">
        <x:v>Official annual report</x:v>
      </x:c>
      <x:c r="G46" s="28" t="str">
        <x:v>Sentenced-prison resource-cost cross-check</x:v>
      </x:c>
      <x:c r="H46" s="28" t="str">
        <x:v>High</x:v>
      </x:c>
      <x:c r="I46" s="28" t="str">
        <x:v>Average cost includes overhead and fixed costs; cashable marginal savings may be zero.</x:v>
      </x:c>
      <x:c r="J46" s="339"/>
      <x:c r="K46" s="339"/>
      <x:c r="L46" s="339"/>
      <x:c r="M46" s="339"/>
      <x:c r="N46" s="339"/>
      <x:c r="O46" s="339"/>
      <x:c r="P46" s="339"/>
      <x:c r="Q46" s="339"/>
      <x:c r="R46" s="339"/>
      <x:c r="S46" s="339"/>
      <x:c r="T46" s="339"/>
      <x:c r="U46" s="1194"/>
      <x:c r="V46" s="1194"/>
      <x:c r="W46" s="1194"/>
      <x:c r="X46" s="1194"/>
      <x:c r="Y46" s="339"/>
      <x:c r="Z46" s="339"/>
    </x:row>
    <x:row r="47">
      <x:c r="A47" s="30" t="str">
        <x:v>S32</x:v>
      </x:c>
      <x:c r="B47" s="28" t="str">
        <x:v>New Zealand's workplace-based learners</x:v>
      </x:c>
      <x:c r="C47" s="28" t="str">
        <x:v>Ministry of Education — Education Counts</x:v>
      </x:c>
      <x:c r="D47" s="28" t="str">
        <x:v>2025 data</x:v>
      </x:c>
      <x:c r="E47" s="32" t="str">
        <x:v>https://www.educationcounts.govt.nz/statistics/new-zealands-workplace-based-learners</x:v>
      </x:c>
      <x:c r="F47" s="28" t="str">
        <x:v>Official statistics</x:v>
      </x:c>
      <x:c r="G47" s="28" t="str">
        <x:v>Apprenticeship participation and completion context</x:v>
      </x:c>
      <x:c r="H47" s="28" t="str">
        <x:v>High for population statistics</x:v>
      </x:c>
      <x:c r="I47" s="28" t="str">
        <x:v>Programme-specific entry and completion effects remain unsupported.</x:v>
      </x:c>
      <x:c r="J47" s="339"/>
      <x:c r="K47" s="339"/>
      <x:c r="L47" s="339"/>
      <x:c r="M47" s="339"/>
      <x:c r="N47" s="339"/>
      <x:c r="O47" s="339"/>
      <x:c r="P47" s="339"/>
      <x:c r="Q47" s="339"/>
      <x:c r="R47" s="339"/>
      <x:c r="S47" s="339"/>
      <x:c r="T47" s="339"/>
      <x:c r="U47" s="1194"/>
      <x:c r="V47" s="1194"/>
      <x:c r="W47" s="1194"/>
      <x:c r="X47" s="1194"/>
      <x:c r="Y47" s="339"/>
      <x:c r="Z47" s="339"/>
    </x:row>
    <x:row r="48">
      <x:c r="A48" s="30" t="str">
        <x:v>S33</x:v>
      </x:c>
      <x:c r="B48" s="28" t="str">
        <x:v>Statistics on student-loan balances</x:v>
      </x:c>
      <x:c r="C48" s="28" t="str">
        <x:v>Inland Revenue</x:v>
      </x:c>
      <x:c r="D48" s="28" t="str">
        <x:v>March 2026 quarter</x:v>
      </x:c>
      <x:c r="E48" s="32" t="str">
        <x:v>https://www.ird.govt.nz/about-us/tax-statistics/statistics-on-the-student-loan-scheme/statistics-on-student-loan-balances</x:v>
      </x:c>
      <x:c r="F48" s="28" t="str">
        <x:v>Official quarterly statistics</x:v>
      </x:c>
      <x:c r="G48" s="28" t="str">
        <x:v>Latest median and nominal loan balances</x:v>
      </x:c>
      <x:c r="H48" s="28" t="str">
        <x:v>High</x:v>
      </x:c>
      <x:c r="I48" s="28" t="str">
        <x:v>Quarterly figures supplement but do not replace the audited annual report.</x:v>
      </x:c>
      <x:c r="J48" s="339"/>
      <x:c r="K48" s="339"/>
      <x:c r="L48" s="339"/>
      <x:c r="M48" s="339"/>
      <x:c r="N48" s="339"/>
      <x:c r="O48" s="339"/>
      <x:c r="P48" s="339"/>
      <x:c r="Q48" s="339"/>
      <x:c r="R48" s="339"/>
      <x:c r="S48" s="339"/>
      <x:c r="T48" s="339"/>
      <x:c r="U48" s="1194"/>
      <x:c r="V48" s="1194"/>
      <x:c r="W48" s="1194"/>
      <x:c r="X48" s="1194"/>
      <x:c r="Y48" s="339"/>
      <x:c r="Z48" s="339"/>
    </x:row>
    <x:row r="49">
      <x:c r="A49" s="500" t="str">
        <x:v>A08</x:v>
      </x:c>
      <x:c r="B49" s="501" t="str">
        <x:v>Investment-return scenarios</x:v>
      </x:c>
      <x:c r="C49" s="501" t="str">
        <x:v>Model assumption</x:v>
      </x:c>
      <x:c r="D49" s="501" t="str">
        <x:v>July 2026</x:v>
      </x:c>
      <x:c r="E49" s="502" t="str">
        <x:v>No guaranteed return; test 0%, 2%, 4%, 6% and a downturn</x:v>
      </x:c>
      <x:c r="F49" s="501" t="str">
        <x:v>Scenario assumption</x:v>
      </x:c>
      <x:c r="G49" s="501" t="str">
        <x:v>Learning Capital Account accumulation</x:v>
      </x:c>
      <x:c r="H49" s="501" t="str">
        <x:v>Low</x:v>
      </x:c>
      <x:c r="I49" s="501" t="str">
        <x:v>Returns vary with market conditions, mandate, lifecycle settings, fees and tax.</x:v>
      </x:c>
      <x:c r="J49" s="339"/>
      <x:c r="K49" s="339"/>
      <x:c r="L49" s="339"/>
      <x:c r="M49" s="339"/>
      <x:c r="N49" s="339"/>
      <x:c r="O49" s="339"/>
      <x:c r="P49" s="339"/>
      <x:c r="Q49" s="339"/>
      <x:c r="R49" s="339"/>
      <x:c r="S49" s="339"/>
      <x:c r="T49" s="339"/>
      <x:c r="U49" s="1194"/>
      <x:c r="V49" s="1194"/>
      <x:c r="W49" s="1194"/>
      <x:c r="X49" s="1194"/>
      <x:c r="Y49" s="339"/>
      <x:c r="Z49" s="339"/>
    </x:row>
    <x:row r="50">
      <x:c r="A50" s="500" t="str">
        <x:v>A09</x:v>
      </x:c>
      <x:c r="B50" s="501" t="str">
        <x:v>Learning Capital Account fee and administration allowance</x:v>
      </x:c>
      <x:c r="C50" s="501" t="str">
        <x:v>Model assumption</x:v>
      </x:c>
      <x:c r="D50" s="501" t="str">
        <x:v>July 2026</x:v>
      </x:c>
      <x:c r="E50" s="502" t="str">
        <x:v>Competitive provider and custodian quotes required</x:v>
      </x:c>
      <x:c r="F50" s="501" t="str">
        <x:v>Scenario assumption</x:v>
      </x:c>
      <x:c r="G50" s="501" t="str">
        <x:v>Account fee drag and public administration</x:v>
      </x:c>
      <x:c r="H50" s="501" t="str">
        <x:v>Low</x:v>
      </x:c>
      <x:c r="I50" s="501" t="str">
        <x:v>Percentage fees and per-account public administration are separate.</x:v>
      </x:c>
      <x:c r="J50" s="339"/>
      <x:c r="K50" s="339"/>
      <x:c r="L50" s="339"/>
      <x:c r="M50" s="339"/>
      <x:c r="N50" s="339"/>
      <x:c r="O50" s="339"/>
      <x:c r="P50" s="339"/>
      <x:c r="Q50" s="339"/>
      <x:c r="R50" s="339"/>
      <x:c r="S50" s="339"/>
      <x:c r="T50" s="339"/>
      <x:c r="U50" s="1194"/>
      <x:c r="V50" s="1194"/>
      <x:c r="W50" s="1194"/>
      <x:c r="X50" s="1194"/>
      <x:c r="Y50" s="339"/>
      <x:c r="Z50" s="339"/>
    </x:row>
    <x:row r="51">
      <x:c r="A51" s="500" t="str">
        <x:v>A10</x:v>
      </x:c>
      <x:c r="B51" s="501" t="str">
        <x:v>Effective investment-tax drag</x:v>
      </x:c>
      <x:c r="C51" s="501" t="str">
        <x:v>Model assumption</x:v>
      </x:c>
      <x:c r="D51" s="501" t="str">
        <x:v>July 2026</x:v>
      </x:c>
      <x:c r="E51" s="502" t="str">
        <x:v>Specialist tax advice required</x:v>
      </x:c>
      <x:c r="F51" s="501" t="str">
        <x:v>Scenario assumption</x:v>
      </x:c>
      <x:c r="G51" s="501" t="str">
        <x:v>Investment accumulation</x:v>
      </x:c>
      <x:c r="H51" s="501" t="str">
        <x:v>Low</x:v>
      </x:c>
      <x:c r="I51" s="501" t="str">
        <x:v>Not a statutory PIR or tax rate.</x:v>
      </x:c>
      <x:c r="J51" s="339"/>
      <x:c r="K51" s="339"/>
      <x:c r="L51" s="339"/>
      <x:c r="M51" s="339"/>
      <x:c r="N51" s="339"/>
      <x:c r="O51" s="339"/>
      <x:c r="P51" s="339"/>
      <x:c r="Q51" s="339"/>
      <x:c r="R51" s="339"/>
      <x:c r="S51" s="339"/>
      <x:c r="T51" s="339"/>
      <x:c r="U51" s="1194"/>
      <x:c r="V51" s="1194"/>
      <x:c r="W51" s="1194"/>
      <x:c r="X51" s="1194"/>
      <x:c r="Y51" s="339"/>
      <x:c r="Z51" s="339"/>
    </x:row>
    <x:row r="52">
      <x:c r="A52" s="500" t="str">
        <x:v>A11</x:v>
      </x:c>
      <x:c r="B52" s="501" t="str">
        <x:v>Tertiary and apprenticeship entry assumptions</x:v>
      </x:c>
      <x:c r="C52" s="501" t="str">
        <x:v>Model assumption</x:v>
      </x:c>
      <x:c r="D52" s="501" t="str">
        <x:v>July 2026</x:v>
      </x:c>
      <x:c r="E52" s="502" t="str">
        <x:v>Linked-data baseline and pilot follow-up required</x:v>
      </x:c>
      <x:c r="F52" s="501" t="str">
        <x:v>Scenario assumption</x:v>
      </x:c>
      <x:c r="G52" s="501" t="str">
        <x:v>Eligible account withdrawals</x:v>
      </x:c>
      <x:c r="H52" s="501" t="str">
        <x:v>Low</x:v>
      </x:c>
      <x:c r="I52" s="501" t="str">
        <x:v>National population rates are not automatically applicable to the target cohort.</x:v>
      </x:c>
      <x:c r="J52" s="339"/>
      <x:c r="K52" s="339"/>
      <x:c r="L52" s="339"/>
      <x:c r="M52" s="339"/>
      <x:c r="N52" s="339"/>
      <x:c r="O52" s="339"/>
      <x:c r="P52" s="339"/>
      <x:c r="Q52" s="339"/>
      <x:c r="R52" s="339"/>
      <x:c r="S52" s="339"/>
      <x:c r="T52" s="339"/>
      <x:c r="U52" s="1194"/>
      <x:c r="V52" s="1194"/>
      <x:c r="W52" s="1194"/>
      <x:c r="X52" s="1194"/>
      <x:c r="Y52" s="339"/>
      <x:c r="Z52" s="339"/>
    </x:row>
    <x:row r="53">
      <x:c r="A53" s="500" t="str">
        <x:v>A12</x:v>
      </x:c>
      <x:c r="B53" s="501" t="str">
        <x:v>Student-loan displacement assumptions</x:v>
      </x:c>
      <x:c r="C53" s="501" t="str">
        <x:v>Model assumption</x:v>
      </x:c>
      <x:c r="D53" s="501" t="str">
        <x:v>July 2026</x:v>
      </x:c>
      <x:c r="E53" s="502" t="str">
        <x:v>Participant counterfactual and administrative data required</x:v>
      </x:c>
      <x:c r="F53" s="501" t="str">
        <x:v>Scenario assumption</x:v>
      </x:c>
      <x:c r="G53" s="501" t="str">
        <x:v>Borrowing replacement, additional study and family-funding substitution</x:v>
      </x:c>
      <x:c r="H53" s="501" t="str">
        <x:v>Low</x:v>
      </x:c>
      <x:c r="I53" s="501" t="str">
        <x:v>The full withdrawal cannot be treated as Crown saving.</x:v>
      </x:c>
      <x:c r="J53" s="339"/>
      <x:c r="K53" s="339"/>
      <x:c r="L53" s="339"/>
      <x:c r="M53" s="339"/>
      <x:c r="N53" s="339"/>
      <x:c r="O53" s="339"/>
      <x:c r="P53" s="339"/>
      <x:c r="Q53" s="339"/>
      <x:c r="R53" s="339"/>
      <x:c r="S53" s="339"/>
      <x:c r="T53" s="339"/>
      <x:c r="U53" s="1194"/>
      <x:c r="V53" s="1194"/>
      <x:c r="W53" s="1194"/>
      <x:c r="X53" s="1194"/>
      <x:c r="Y53" s="339"/>
      <x:c r="Z53" s="339"/>
    </x:row>
    <x:row r="54">
      <x:c r="A54" s="500" t="str">
        <x:v>A13</x:v>
      </x:c>
      <x:c r="B54" s="501" t="str">
        <x:v>Approved-use account utilisation</x:v>
      </x:c>
      <x:c r="C54" s="501" t="str">
        <x:v>Model assumption</x:v>
      </x:c>
      <x:c r="D54" s="501" t="str">
        <x:v>July 2026</x:v>
      </x:c>
      <x:c r="E54" s="502" t="str">
        <x:v>Pilot behaviour and provider-payment data required</x:v>
      </x:c>
      <x:c r="F54" s="501" t="str">
        <x:v>Scenario assumption</x:v>
      </x:c>
      <x:c r="G54" s="501" t="str">
        <x:v>Timing and amount of withdrawals</x:v>
      </x:c>
      <x:c r="H54" s="501" t="str">
        <x:v>Low</x:v>
      </x:c>
      <x:c r="I54" s="501" t="str">
        <x:v>Unused balances remain protected under the policy rules.</x:v>
      </x:c>
      <x:c r="J54" s="339"/>
      <x:c r="K54" s="339"/>
      <x:c r="L54" s="339"/>
      <x:c r="M54" s="339"/>
      <x:c r="N54" s="339"/>
      <x:c r="O54" s="339"/>
      <x:c r="P54" s="339"/>
      <x:c r="Q54" s="339"/>
      <x:c r="R54" s="339"/>
      <x:c r="S54" s="339"/>
      <x:c r="T54" s="339"/>
      <x:c r="U54" s="1194"/>
      <x:c r="V54" s="1194"/>
      <x:c r="W54" s="1194"/>
      <x:c r="X54" s="1194"/>
      <x:c r="Y54" s="339"/>
      <x:c r="Z54" s="339"/>
    </x:row>
    <x:row r="55">
      <x:c r="A55" s="500" t="str">
        <x:v>A14</x:v>
      </x:c>
      <x:c r="B55" s="501" t="str">
        <x:v>Education and apprenticeship withdrawal schedule</x:v>
      </x:c>
      <x:c r="C55" s="501" t="str">
        <x:v>Model assumption</x:v>
      </x:c>
      <x:c r="D55" s="501" t="str">
        <x:v>July 2026</x:v>
      </x:c>
      <x:c r="E55" s="502" t="str">
        <x:v>Co-design with learners, providers and apprenticeship bodies required</x:v>
      </x:c>
      <x:c r="F55" s="501" t="str">
        <x:v>Scenario assumption</x:v>
      </x:c>
      <x:c r="G55" s="501" t="str">
        <x:v>Staged releases and completion tranche</x:v>
      </x:c>
      <x:c r="H55" s="501" t="str">
        <x:v>Low</x:v>
      </x:c>
      <x:c r="I55" s="501" t="str">
        <x:v>Apprenticeship withdrawals should occur at verified stages.</x:v>
      </x:c>
      <x:c r="J55" s="339"/>
      <x:c r="K55" s="339"/>
      <x:c r="L55" s="339"/>
      <x:c r="M55" s="339"/>
      <x:c r="N55" s="339"/>
      <x:c r="O55" s="339"/>
      <x:c r="P55" s="339"/>
      <x:c r="Q55" s="339"/>
      <x:c r="R55" s="339"/>
      <x:c r="S55" s="339"/>
      <x:c r="T55" s="339"/>
      <x:c r="U55" s="1194"/>
      <x:c r="V55" s="1194"/>
      <x:c r="W55" s="1194"/>
      <x:c r="X55" s="1194"/>
      <x:c r="Y55" s="339"/>
      <x:c r="Z55" s="339"/>
    </x:row>
    <x:row r="56">
      <x:c r="A56" s="500" t="str">
        <x:v>A15</x:v>
      </x:c>
      <x:c r="B56" s="501" t="str">
        <x:v>Learning Capital Account legal and accounting structure</x:v>
      </x:c>
      <x:c r="C56" s="501" t="str">
        <x:v>Model requirement</x:v>
      </x:c>
      <x:c r="D56" s="501" t="str">
        <x:v>July 2026</x:v>
      </x:c>
      <x:c r="E56" s="502" t="str">
        <x:v>Specialist Crown accounting, trust, tax and financial-markets advice required</x:v>
      </x:c>
      <x:c r="F56" s="501" t="str">
        <x:v>Validation requirement</x:v>
      </x:c>
      <x:c r="G56" s="501" t="str">
        <x:v>Legal ownership, beneficial ownership, Crown control, vesting and restrictions</x:v>
      </x:c>
      <x:c r="H56" s="501" t="str">
        <x:v>Low until resolved</x:v>
      </x:c>
      <x:c r="I56" s="501" t="str">
        <x:v>No accounting treatment is asserted.</x:v>
      </x:c>
      <x:c r="J56" s="339"/>
      <x:c r="K56" s="339"/>
      <x:c r="L56" s="339"/>
      <x:c r="M56" s="339"/>
      <x:c r="N56" s="339"/>
      <x:c r="O56" s="339"/>
      <x:c r="P56" s="339"/>
      <x:c r="Q56" s="339"/>
      <x:c r="R56" s="339"/>
      <x:c r="S56" s="339"/>
      <x:c r="T56" s="339"/>
      <x:c r="U56" s="1194"/>
      <x:c r="V56" s="1194"/>
      <x:c r="W56" s="1194"/>
      <x:c r="X56" s="1194"/>
      <x:c r="Y56" s="339"/>
      <x:c r="Z56" s="339"/>
    </x:row>
    <x:row r="57">
      <x:c r="A57" s="500" t="str">
        <x:v>A16</x:v>
      </x:c>
      <x:c r="B57" s="501" t="str">
        <x:v>Incremental tertiary-system fiscal cost</x:v>
      </x:c>
      <x:c r="C57" s="501" t="str">
        <x:v>Model assumption</x:v>
      </x:c>
      <x:c r="D57" s="501" t="str">
        <x:v>July 2026</x:v>
      </x:c>
      <x:c r="E57" s="502" t="str">
        <x:v>Pathway-specific TEC and provider costing required</x:v>
      </x:c>
      <x:c r="F57" s="501" t="str">
        <x:v>Scenario assumption</x:v>
      </x:c>
      <x:c r="G57" s="501" t="str">
        <x:v>Additional study enabled by the account</x:v>
      </x:c>
      <x:c r="H57" s="501" t="str">
        <x:v>Low</x:v>
      </x:c>
      <x:c r="I57" s="501" t="str">
        <x:v>A genuine consequential cost must be recognised if participation increases.</x:v>
      </x:c>
      <x:c r="J57" s="339"/>
      <x:c r="K57" s="339"/>
      <x:c r="L57" s="339"/>
      <x:c r="M57" s="339"/>
      <x:c r="N57" s="339"/>
      <x:c r="O57" s="339"/>
      <x:c r="P57" s="339"/>
      <x:c r="Q57" s="339"/>
      <x:c r="R57" s="339"/>
      <x:c r="S57" s="339"/>
      <x:c r="T57" s="339"/>
      <x:c r="U57" s="1194"/>
      <x:c r="V57" s="1194"/>
      <x:c r="W57" s="1194"/>
      <x:c r="X57" s="1194"/>
      <x:c r="Y57" s="339"/>
      <x:c r="Z57" s="339"/>
    </x:row>
    <x:row r="58">
      <x:c r="A58" s="500" t="str">
        <x:v>A17</x:v>
      </x:c>
      <x:c r="B58" s="501" t="str">
        <x:v>Justice attribution sensitivity</x:v>
      </x:c>
      <x:c r="C58" s="501" t="str">
        <x:v>Model assumption</x:v>
      </x:c>
      <x:c r="D58" s="501" t="str">
        <x:v>July 2026</x:v>
      </x:c>
      <x:c r="E58" s="502" t="str">
        <x:v>Linked-data causal evidence required</x:v>
      </x:c>
      <x:c r="F58" s="501" t="str">
        <x:v>Sensitivity only</x:v>
      </x:c>
      <x:c r="G58" s="501" t="str">
        <x:v>0%, 0.5%, 1.0% and 2.0% prisoner-year sensitivities</x:v>
      </x:c>
      <x:c r="H58" s="501" t="str">
        <x:v>Low</x:v>
      </x:c>
      <x:c r="I58" s="501" t="str">
        <x:v>Not an evidence-based forecast and not assumed cashable.</x:v>
      </x:c>
      <x:c r="J58" s="339"/>
      <x:c r="K58" s="339"/>
      <x:c r="L58" s="339"/>
      <x:c r="M58" s="339"/>
      <x:c r="N58" s="339"/>
      <x:c r="O58" s="339"/>
      <x:c r="P58" s="339"/>
      <x:c r="Q58" s="339"/>
      <x:c r="R58" s="339"/>
      <x:c r="S58" s="339"/>
      <x:c r="T58" s="339"/>
      <x:c r="U58" s="1194"/>
      <x:c r="V58" s="1194"/>
      <x:c r="W58" s="1194"/>
      <x:c r="X58" s="1194"/>
      <x:c r="Y58" s="339"/>
      <x:c r="Z58" s="339"/>
    </x:row>
    <x:row r="59">
      <x:c r="A59" s="30" t="str">
        <x:v>S34</x:v>
      </x:c>
      <x:c r="B59" s="28" t="str">
        <x:v>Income and earnings statistics by qualification and age, 2010–2025</x:v>
      </x:c>
      <x:c r="C59" s="28" t="str">
        <x:v>Ministry of Education / Stats NZ</x:v>
      </x:c>
      <x:c r="D59" s="28" t="str">
        <x:v>2025 data; released 2026</x:v>
      </x:c>
      <x:c r="E59" s="32" t="str">
        <x:v>https://www.educationcounts.govt.nz/statistics/beyond-study/Education-income-earnings-2010-2025.xlsx</x:v>
      </x:c>
      <x:c r="F59" s="28" t="str">
        <x:v>Official customised statistics</x:v>
      </x:c>
      <x:c r="G59" s="28" t="str">
        <x:v>Age-earnings and qualification earnings profiles</x:v>
      </x:c>
      <x:c r="H59" s="28" t="str">
        <x:v>High</x:v>
      </x:c>
      <x:c r="I59" s="28" t="str">
        <x:v>Survey estimates have sampling error; they show association, not programme causality.</x:v>
      </x:c>
      <x:c r="J59" s="339"/>
      <x:c r="K59" s="339"/>
      <x:c r="L59" s="339"/>
      <x:c r="M59" s="339"/>
      <x:c r="N59" s="339"/>
      <x:c r="O59" s="339"/>
      <x:c r="P59" s="339"/>
      <x:c r="Q59" s="339"/>
      <x:c r="R59" s="339"/>
      <x:c r="S59" s="339"/>
      <x:c r="T59" s="339"/>
      <x:c r="U59" s="1194"/>
      <x:c r="V59" s="1194"/>
      <x:c r="W59" s="1194"/>
      <x:c r="X59" s="1194"/>
      <x:c r="Y59" s="339"/>
      <x:c r="Z59" s="339"/>
    </x:row>
    <x:row r="60">
      <x:c r="A60" s="30" t="str">
        <x:v>S35</x:v>
      </x:c>
      <x:c r="B60" s="28" t="str">
        <x:v>Attendance statistics — Term 1 2026</x:v>
      </x:c>
      <x:c r="C60" s="28" t="str">
        <x:v>Ministry of Education — Education Counts</x:v>
      </x:c>
      <x:c r="D60" s="28" t="str">
        <x:v>Term 1 2026</x:v>
      </x:c>
      <x:c r="E60" s="32" t="str">
        <x:v>https://www.educationcounts.govt.nz/statistics/attendance</x:v>
      </x:c>
      <x:c r="F60" s="28" t="str">
        <x:v>Official statistics</x:v>
      </x:c>
      <x:c r="G60" s="28" t="str">
        <x:v>Regular-attendance counterfactual</x:v>
      </x:c>
      <x:c r="H60" s="28" t="str">
        <x:v>High</x:v>
      </x:c>
      <x:c r="I60" s="28" t="str">
        <x:v>Regular attendance was 68.8%; term measures must not be confused with daily attendance.</x:v>
      </x:c>
      <x:c r="J60" s="339"/>
      <x:c r="K60" s="339"/>
      <x:c r="L60" s="339"/>
      <x:c r="M60" s="339"/>
      <x:c r="N60" s="339"/>
      <x:c r="O60" s="339"/>
      <x:c r="P60" s="339"/>
      <x:c r="Q60" s="339"/>
      <x:c r="R60" s="339"/>
      <x:c r="S60" s="339"/>
      <x:c r="T60" s="339"/>
      <x:c r="U60" s="1194"/>
      <x:c r="V60" s="1194"/>
      <x:c r="W60" s="1194"/>
      <x:c r="X60" s="1194"/>
      <x:c r="Y60" s="339"/>
      <x:c r="Z60" s="339"/>
    </x:row>
    <x:row r="61">
      <x:c r="A61" s="30" t="str">
        <x:v>S36</x:v>
      </x:c>
      <x:c r="B61" s="28" t="str">
        <x:v>Regional summary with New Zealand school-leaver qualification benchmarks</x:v>
      </x:c>
      <x:c r="C61" s="28" t="str">
        <x:v>Ministry of Education — Education Counts</x:v>
      </x:c>
      <x:c r="D61" s="28" t="str">
        <x:v>2024 school leavers</x:v>
      </x:c>
      <x:c r="E61" s="32" t="str">
        <x:v>https://www.educationcounts.govt.nz/know-your-region/region/region-summary?region=2</x:v>
      </x:c>
      <x:c r="F61" s="28" t="str">
        <x:v>Official statistics</x:v>
      </x:c>
      <x:c r="G61" s="28" t="str">
        <x:v>National NCEA Level 2 and Level 3 counterfactual rates</x:v>
      </x:c>
      <x:c r="H61" s="28" t="str">
        <x:v>High for published benchmarks</x:v>
      </x:c>
      <x:c r="I61" s="28" t="str">
        <x:v>The page displays Auckland and New Zealand values; the model uses the New Zealand benchmark.</x:v>
      </x:c>
      <x:c r="J61" s="339"/>
      <x:c r="K61" s="339"/>
      <x:c r="L61" s="339"/>
      <x:c r="M61" s="339"/>
      <x:c r="N61" s="339"/>
      <x:c r="O61" s="339"/>
      <x:c r="P61" s="339"/>
      <x:c r="Q61" s="339"/>
      <x:c r="R61" s="339"/>
      <x:c r="S61" s="339"/>
      <x:c r="T61" s="339"/>
      <x:c r="U61" s="1194"/>
      <x:c r="V61" s="1194"/>
      <x:c r="W61" s="1194"/>
      <x:c r="X61" s="1194"/>
      <x:c r="Y61" s="339"/>
      <x:c r="Z61" s="339"/>
    </x:row>
    <x:row r="62">
      <x:c r="A62" s="30" t="str">
        <x:v>S37</x:v>
      </x:c>
      <x:c r="B62" s="28" t="str">
        <x:v>Pathways from Year 11</x:v>
      </x:c>
      <x:c r="C62" s="28" t="str">
        <x:v>Ministry of Education — Education Counts</x:v>
      </x:c>
      <x:c r="D62" s="28" t="str">
        <x:v>2020–2023 cohorts; 2025 release</x:v>
      </x:c>
      <x:c r="E62" s="32" t="str">
        <x:v>https://www.educationcounts.govt.nz/statistics/pathways-year-11-cohort</x:v>
      </x:c>
      <x:c r="F62" s="28" t="str">
        <x:v>Official longitudinal statistics</x:v>
      </x:c>
      <x:c r="G62" s="28" t="str">
        <x:v>Level 2 attainment timing and persistence context</x:v>
      </x:c>
      <x:c r="H62" s="28" t="str">
        <x:v>High</x:v>
      </x:c>
      <x:c r="I62" s="28" t="str">
        <x:v>Cohort attainment is not a causal estimate of programme impact.</x:v>
      </x:c>
      <x:c r="J62" s="339"/>
      <x:c r="K62" s="339"/>
      <x:c r="L62" s="339"/>
      <x:c r="M62" s="339"/>
      <x:c r="N62" s="339"/>
      <x:c r="O62" s="339"/>
      <x:c r="P62" s="339"/>
      <x:c r="Q62" s="339"/>
      <x:c r="R62" s="339"/>
      <x:c r="S62" s="339"/>
      <x:c r="T62" s="339"/>
      <x:c r="U62" s="1194"/>
      <x:c r="V62" s="1194"/>
      <x:c r="W62" s="1194"/>
      <x:c r="X62" s="1194"/>
      <x:c r="Y62" s="339"/>
      <x:c r="Z62" s="339"/>
    </x:row>
    <x:row r="63">
      <x:c r="A63" s="30" t="str">
        <x:v>S38</x:v>
      </x:c>
      <x:c r="B63" s="28" t="str">
        <x:v>New Zealand's workplace-based learners</x:v>
      </x:c>
      <x:c r="C63" s="28" t="str">
        <x:v>Ministry of Education — Education Counts</x:v>
      </x:c>
      <x:c r="D63" s="28" t="str">
        <x:v>2025</x:v>
      </x:c>
      <x:c r="E63" s="32" t="str">
        <x:v>https://www.educationcounts.govt.nz/statistics/new-zealands-workplace-based-learners</x:v>
      </x:c>
      <x:c r="F63" s="28" t="str">
        <x:v>Official statistics</x:v>
      </x:c>
      <x:c r="G63" s="28" t="str">
        <x:v>Apprenticeship entry and completion context</x:v>
      </x:c>
      <x:c r="H63" s="28" t="str">
        <x:v>High</x:v>
      </x:c>
      <x:c r="I63" s="28" t="str">
        <x:v>The 2025 five-year apprentice completion rate was 40%; target-cohort effects remain unproven.</x:v>
      </x:c>
      <x:c r="J63" s="339"/>
      <x:c r="K63" s="339"/>
      <x:c r="L63" s="339"/>
      <x:c r="M63" s="339"/>
      <x:c r="N63" s="339"/>
      <x:c r="O63" s="339"/>
      <x:c r="P63" s="339"/>
      <x:c r="Q63" s="339"/>
      <x:c r="R63" s="339"/>
      <x:c r="S63" s="339"/>
      <x:c r="T63" s="339"/>
      <x:c r="U63" s="1194"/>
      <x:c r="V63" s="1194"/>
      <x:c r="W63" s="1194"/>
      <x:c r="X63" s="1194"/>
      <x:c r="Y63" s="339"/>
      <x:c r="Z63" s="339"/>
    </x:row>
    <x:row r="64">
      <x:c r="A64" s="30" t="str">
        <x:v>S39</x:v>
      </x:c>
      <x:c r="B64" s="28" t="str">
        <x:v>School-leaver pathways</x:v>
      </x:c>
      <x:c r="C64" s="28" t="str">
        <x:v>Ministry of Education — Education Counts</x:v>
      </x:c>
      <x:c r="D64" s="28" t="str">
        <x:v>2021–2024 snapshots</x:v>
      </x:c>
      <x:c r="E64" s="32" t="str">
        <x:v>https://www.educationcounts.govt.nz/statistics/what-happens-to-school-leavers</x:v>
      </x:c>
      <x:c r="F64" s="28" t="str">
        <x:v>Official statistics</x:v>
      </x:c>
      <x:c r="G64" s="28" t="str">
        <x:v>Tertiary, vocational, employment and non-participation pathways</x:v>
      </x:c>
      <x:c r="H64" s="28" t="str">
        <x:v>High for population context</x:v>
      </x:c>
      <x:c r="I64" s="28" t="str">
        <x:v>Snapshot pathways do not establish programme attribution.</x:v>
      </x:c>
      <x:c r="J64" s="339"/>
      <x:c r="K64" s="339"/>
      <x:c r="L64" s="339"/>
      <x:c r="M64" s="339"/>
      <x:c r="N64" s="339"/>
      <x:c r="O64" s="339"/>
      <x:c r="P64" s="339"/>
      <x:c r="Q64" s="339"/>
      <x:c r="R64" s="339"/>
      <x:c r="S64" s="339"/>
      <x:c r="T64" s="339"/>
      <x:c r="U64" s="1194"/>
      <x:c r="V64" s="1194"/>
      <x:c r="W64" s="1194"/>
      <x:c r="X64" s="1194"/>
      <x:c r="Y64" s="339"/>
      <x:c r="Z64" s="339"/>
    </x:row>
    <x:row r="65">
      <x:c r="A65" s="30" t="str">
        <x:v>S40</x:v>
      </x:c>
      <x:c r="B65" s="28" t="str">
        <x:v>Tertiary achievement and attainment</x:v>
      </x:c>
      <x:c r="C65" s="28" t="str">
        <x:v>Ministry of Education — Education Counts</x:v>
      </x:c>
      <x:c r="D65" s="28" t="str">
        <x:v>2025</x:v>
      </x:c>
      <x:c r="E65" s="32" t="str">
        <x:v>https://www.educationcounts.govt.nz/statistics/achievement-and-attainment</x:v>
      </x:c>
      <x:c r="F65" s="28" t="str">
        <x:v>Official statistics</x:v>
      </x:c>
      <x:c r="G65" s="28" t="str">
        <x:v>Tertiary completion context</x:v>
      </x:c>
      <x:c r="H65" s="28" t="str">
        <x:v>High for published totals</x:v>
      </x:c>
      <x:c r="I65" s="28" t="str">
        <x:v>Completion-effect assumptions require target-cohort evidence.</x:v>
      </x:c>
      <x:c r="J65" s="339"/>
      <x:c r="K65" s="339"/>
      <x:c r="L65" s="339"/>
      <x:c r="M65" s="339"/>
      <x:c r="N65" s="339"/>
      <x:c r="O65" s="339"/>
      <x:c r="P65" s="339"/>
      <x:c r="Q65" s="339"/>
      <x:c r="R65" s="339"/>
      <x:c r="S65" s="339"/>
      <x:c r="T65" s="339"/>
      <x:c r="U65" s="1194"/>
      <x:c r="V65" s="1194"/>
      <x:c r="W65" s="1194"/>
      <x:c r="X65" s="1194"/>
      <x:c r="Y65" s="339"/>
      <x:c r="Z65" s="339"/>
    </x:row>
    <x:row r="66">
      <x:c r="A66" s="30" t="str">
        <x:v>S41</x:v>
      </x:c>
      <x:c r="B66" s="28" t="str">
        <x:v>National labour-force projections 2024(base)–2078</x:v>
      </x:c>
      <x:c r="C66" s="28" t="str">
        <x:v>Stats NZ</x:v>
      </x:c>
      <x:c r="D66" s="28" t="str">
        <x:v>June 2025</x:v>
      </x:c>
      <x:c r="E66" s="32" t="str">
        <x:v>https://www.stats.govt.nz/information-releases/national-labour-force-projections-2024base-2078/</x:v>
      </x:c>
      <x:c r="F66" s="28" t="str">
        <x:v>Official projections</x:v>
      </x:c>
      <x:c r="G66" s="28" t="str">
        <x:v>Hours worked, labour-force and ageing context</x:v>
      </x:c>
      <x:c r="H66" s="28" t="str">
        <x:v>High</x:v>
      </x:c>
      <x:c r="I66" s="28" t="str">
        <x:v>Projections are scenarios, not guarantees.</x:v>
      </x:c>
      <x:c r="J66" s="339"/>
      <x:c r="K66" s="339"/>
      <x:c r="L66" s="339"/>
      <x:c r="M66" s="339"/>
      <x:c r="N66" s="339"/>
      <x:c r="O66" s="339"/>
      <x:c r="P66" s="339"/>
      <x:c r="Q66" s="339"/>
      <x:c r="R66" s="339"/>
      <x:c r="S66" s="339"/>
      <x:c r="T66" s="339"/>
      <x:c r="U66" s="1194"/>
      <x:c r="V66" s="1194"/>
      <x:c r="W66" s="1194"/>
      <x:c r="X66" s="1194"/>
      <x:c r="Y66" s="339"/>
      <x:c r="Z66" s="339"/>
    </x:row>
    <x:row r="67">
      <x:c r="A67" s="30" t="str">
        <x:v>S42</x:v>
      </x:c>
      <x:c r="B67" s="28" t="str">
        <x:v>Tax rates for individuals</x:v>
      </x:c>
      <x:c r="C67" s="28" t="str">
        <x:v>Inland Revenue</x:v>
      </x:c>
      <x:c r="D67" s="28" t="str">
        <x:v>Current 2026</x:v>
      </x:c>
      <x:c r="E67" s="32" t="str">
        <x:v>https://www.ird.govt.nz/income-tax/income-tax-for-individuals/tax-codes-and-tax-rates-for-individuals/tax-rates-for-individuals</x:v>
      </x:c>
      <x:c r="F67" s="28" t="str">
        <x:v>Official tax guidance</x:v>
      </x:c>
      <x:c r="G67" s="28" t="str">
        <x:v>Incremental income-tax calculation</x:v>
      </x:c>
      <x:c r="H67" s="28" t="str">
        <x:v>High</x:v>
      </x:c>
      <x:c r="I67" s="28" t="str">
        <x:v>Tax settings must be refreshed at each valuation date.</x:v>
      </x:c>
      <x:c r="J67" s="339"/>
      <x:c r="K67" s="339"/>
      <x:c r="L67" s="339"/>
      <x:c r="M67" s="339"/>
      <x:c r="N67" s="339"/>
      <x:c r="O67" s="339"/>
      <x:c r="P67" s="339"/>
      <x:c r="Q67" s="339"/>
      <x:c r="R67" s="339"/>
      <x:c r="S67" s="339"/>
      <x:c r="T67" s="339"/>
      <x:c r="U67" s="1194"/>
      <x:c r="V67" s="1194"/>
      <x:c r="W67" s="1194"/>
      <x:c r="X67" s="1194"/>
      <x:c r="Y67" s="339"/>
      <x:c r="Z67" s="339"/>
    </x:row>
    <x:row r="68">
      <x:c r="A68" s="30" t="str">
        <x:v>S43</x:v>
      </x:c>
      <x:c r="B68" s="28" t="str">
        <x:v>ACC earners' levy rates</x:v>
      </x:c>
      <x:c r="C68" s="28" t="str">
        <x:v>Inland Revenue</x:v>
      </x:c>
      <x:c r="D68" s="28" t="str">
        <x:v>2026/27</x:v>
      </x:c>
      <x:c r="E68" s="32" t="str">
        <x:v>https://www.ird.govt.nz/income-tax/income-tax-for-individuals/acc-clients-and-carers/acc-earners-levy-rates</x:v>
      </x:c>
      <x:c r="F68" s="28" t="str">
        <x:v>Official levy guidance</x:v>
      </x:c>
      <x:c r="G68" s="28" t="str">
        <x:v>Incremental ACC revenue</x:v>
      </x:c>
      <x:c r="H68" s="28" t="str">
        <x:v>High</x:v>
      </x:c>
      <x:c r="I68" s="28" t="str">
        <x:v>2026/27 rate is 1.75% up to maximum liable earnings.</x:v>
      </x:c>
      <x:c r="J68" s="339"/>
      <x:c r="K68" s="339"/>
      <x:c r="L68" s="339"/>
      <x:c r="M68" s="339"/>
      <x:c r="N68" s="339"/>
      <x:c r="O68" s="339"/>
      <x:c r="P68" s="339"/>
      <x:c r="Q68" s="339"/>
      <x:c r="R68" s="339"/>
      <x:c r="S68" s="339"/>
      <x:c r="T68" s="339"/>
      <x:c r="U68" s="1194"/>
      <x:c r="V68" s="1194"/>
      <x:c r="W68" s="1194"/>
      <x:c r="X68" s="1194"/>
      <x:c r="Y68" s="339"/>
      <x:c r="Z68" s="339"/>
    </x:row>
    <x:row r="69">
      <x:c r="A69" s="30" t="str">
        <x:v>S44</x:v>
      </x:c>
      <x:c r="B69" s="28" t="str">
        <x:v>Recent trends in school leavers going overseas</x:v>
      </x:c>
      <x:c r="C69" s="28" t="str">
        <x:v>Ministry of Education — Education Counts</x:v>
      </x:c>
      <x:c r="D69" s="28" t="str">
        <x:v>2010–2024</x:v>
      </x:c>
      <x:c r="E69" s="32" t="str">
        <x:v>https://www.educationcounts.govt.nz/publications/tertiary_education/beyond-study/destinations/recent-trends-in-school-leavers-going-overseas</x:v>
      </x:c>
      <x:c r="F69" s="28" t="str">
        <x:v>Official linked-data analysis</x:v>
      </x:c>
      <x:c r="G69" s="28" t="str">
        <x:v>Domestic-retention sensitivity</x:v>
      </x:c>
      <x:c r="H69" s="28" t="str">
        <x:v>High for the first post-school year</x:v>
      </x:c>
      <x:c r="I69" s="28" t="str">
        <x:v>Long-run migration requires wider evidence.</x:v>
      </x:c>
      <x:c r="J69" s="339"/>
      <x:c r="K69" s="339"/>
      <x:c r="L69" s="339"/>
      <x:c r="M69" s="339"/>
      <x:c r="N69" s="339"/>
      <x:c r="O69" s="339"/>
      <x:c r="P69" s="339"/>
      <x:c r="Q69" s="339"/>
      <x:c r="R69" s="339"/>
      <x:c r="S69" s="339"/>
      <x:c r="T69" s="339"/>
      <x:c r="U69" s="1194"/>
      <x:c r="V69" s="1194"/>
      <x:c r="W69" s="1194"/>
      <x:c r="X69" s="1194"/>
      <x:c r="Y69" s="339"/>
      <x:c r="Z69" s="339"/>
    </x:row>
    <x:row r="70">
      <x:c r="A70" s="30" t="str">
        <x:v>S45</x:v>
      </x:c>
      <x:c r="B70" s="28" t="str">
        <x:v>Tertiary summary tables</x:v>
      </x:c>
      <x:c r="C70" s="28" t="str">
        <x:v>Ministry of Education — Education Counts</x:v>
      </x:c>
      <x:c r="D70" s="28" t="str">
        <x:v>2025</x:v>
      </x:c>
      <x:c r="E70" s="32" t="str">
        <x:v>https://www.educationcounts.govt.nz/statistics/summary_tables</x:v>
      </x:c>
      <x:c r="F70" s="28" t="str">
        <x:v>Official statistics</x:v>
      </x:c>
      <x:c r="G70" s="28" t="str">
        <x:v>Course, qualification, attrition and progression context</x:v>
      </x:c>
      <x:c r="H70" s="28" t="str">
        <x:v>High</x:v>
      </x:c>
      <x:c r="I70" s="28" t="str">
        <x:v>Use target-cohort completion rates when available.</x:v>
      </x:c>
      <x:c r="J70" s="339"/>
      <x:c r="K70" s="339"/>
      <x:c r="L70" s="339"/>
      <x:c r="M70" s="339"/>
      <x:c r="N70" s="339"/>
      <x:c r="O70" s="339"/>
      <x:c r="P70" s="339"/>
      <x:c r="Q70" s="339"/>
      <x:c r="R70" s="339"/>
      <x:c r="S70" s="339"/>
      <x:c r="T70" s="339"/>
      <x:c r="U70" s="1194"/>
      <x:c r="V70" s="1194"/>
      <x:c r="W70" s="1194"/>
      <x:c r="X70" s="1194"/>
      <x:c r="Y70" s="339"/>
      <x:c r="Z70" s="339"/>
    </x:row>
    <x:row r="71">
      <x:c r="A71" s="30" t="str">
        <x:v>S46</x:v>
      </x:c>
      <x:c r="B71" s="28" t="str">
        <x:v>Monitoring Gateway and Trades Academies 2025</x:v>
      </x:c>
      <x:c r="C71" s="28" t="str">
        <x:v>Ministry of Education — Education Counts</x:v>
      </x:c>
      <x:c r="D71" s="28" t="str">
        <x:v>2025</x:v>
      </x:c>
      <x:c r="E71" s="32" t="str">
        <x:v>https://www.educationcounts.govt.nz/publications/80898/monitoring-gateway-and-trades-academies-2025</x:v>
      </x:c>
      <x:c r="F71" s="28" t="str">
        <x:v>Official monitoring report</x:v>
      </x:c>
      <x:c r="G71" s="28" t="str">
        <x:v>Vocational comparator and transition evidence</x:v>
      </x:c>
      <x:c r="H71" s="28" t="str">
        <x:v>Medium-High</x:v>
      </x:c>
      <x:c r="I71" s="28" t="str">
        <x:v>Comparator programmes differ from He Ara Angitū.</x:v>
      </x:c>
      <x:c r="J71" s="339"/>
      <x:c r="K71" s="339"/>
      <x:c r="L71" s="339"/>
      <x:c r="M71" s="339"/>
      <x:c r="N71" s="339"/>
      <x:c r="O71" s="339"/>
      <x:c r="P71" s="339"/>
      <x:c r="Q71" s="339"/>
      <x:c r="R71" s="339"/>
      <x:c r="S71" s="339"/>
      <x:c r="T71" s="339"/>
      <x:c r="U71" s="1194"/>
      <x:c r="V71" s="1194"/>
      <x:c r="W71" s="1194"/>
      <x:c r="X71" s="1194"/>
      <x:c r="Y71" s="339"/>
      <x:c r="Z71" s="339"/>
    </x:row>
    <x:row r="72">
      <x:c r="A72" s="30" t="str">
        <x:v>S47</x:v>
      </x:c>
      <x:c r="B72" s="28" t="str">
        <x:v>Labour-market statistics — March 2025 quarter</x:v>
      </x:c>
      <x:c r="C72" s="28" t="str">
        <x:v>Stats NZ</x:v>
      </x:c>
      <x:c r="D72" s="28" t="str">
        <x:v>May 2025</x:v>
      </x:c>
      <x:c r="E72" s="32" t="str">
        <x:v>https://www.stats.govt.nz/information-releases/labour-market-statistics-march-2025-quarter/</x:v>
      </x:c>
      <x:c r="F72" s="28" t="str">
        <x:v>Official labour statistics</x:v>
      </x:c>
      <x:c r="G72" s="28" t="str">
        <x:v>38.25 average ordinary paid hours for FTEs</x:v>
      </x:c>
      <x:c r="H72" s="28" t="str">
        <x:v>High</x:v>
      </x:c>
      <x:c r="I72" s="28" t="str">
        <x:v>QES coverage differs from the household survey.</x:v>
      </x:c>
      <x:c r="J72" s="339"/>
      <x:c r="K72" s="339"/>
      <x:c r="L72" s="339"/>
      <x:c r="M72" s="339"/>
      <x:c r="N72" s="339"/>
      <x:c r="O72" s="339"/>
      <x:c r="P72" s="339"/>
      <x:c r="Q72" s="339"/>
      <x:c r="R72" s="339"/>
      <x:c r="S72" s="339"/>
      <x:c r="T72" s="339"/>
      <x:c r="U72" s="1194"/>
      <x:c r="V72" s="1194"/>
      <x:c r="W72" s="1194"/>
      <x:c r="X72" s="1194"/>
      <x:c r="Y72" s="339"/>
      <x:c r="Z72" s="339"/>
    </x:row>
    <x:row r="73">
      <x:c r="A73" s="893" t="str">
        <x:v>A18</x:v>
      </x:c>
      <x:c r="B73" s="894" t="str">
        <x:v>Whole-cohort earnings and pathway effect assumptions</x:v>
      </x:c>
      <x:c r="C73" s="894" t="str">
        <x:v>Model assumption</x:v>
      </x:c>
      <x:c r="D73" s="894" t="str">
        <x:v>July 2026</x:v>
      </x:c>
      <x:c r="E73" s="882" t="str">
        <x:v>Pilot causal evidence and linked-data baseline required</x:v>
      </x:c>
      <x:c r="F73" s="894" t="str">
        <x:v>Scenario assumption</x:v>
      </x:c>
      <x:c r="G73" s="894" t="str">
        <x:v>Affected share, attribution, persistence, deadweight, displacement and fade-out</x:v>
      </x:c>
      <x:c r="H73" s="894" t="str">
        <x:v>Low</x:v>
      </x:c>
      <x:c r="I73" s="894" t="str">
        <x:v>No whole-cohort programme effect is asserted.</x:v>
      </x:c>
      <x:c r="J73" s="339"/>
      <x:c r="K73" s="339"/>
      <x:c r="L73" s="339"/>
      <x:c r="M73" s="339"/>
      <x:c r="N73" s="339"/>
      <x:c r="O73" s="339"/>
      <x:c r="P73" s="339"/>
      <x:c r="Q73" s="339"/>
      <x:c r="R73" s="339"/>
      <x:c r="S73" s="339"/>
      <x:c r="T73" s="339"/>
      <x:c r="U73" s="1194"/>
      <x:c r="V73" s="1194"/>
      <x:c r="W73" s="1194"/>
      <x:c r="X73" s="1194"/>
      <x:c r="Y73" s="339"/>
      <x:c r="Z73" s="339"/>
    </x:row>
    <x:row r="74">
      <x:c r="A74" s="893" t="str">
        <x:v>A19</x:v>
      </x:c>
      <x:c r="B74" s="894" t="str">
        <x:v>Labour-market and general-equilibrium haircut</x:v>
      </x:c>
      <x:c r="C74" s="894" t="str">
        <x:v>Model assumption</x:v>
      </x:c>
      <x:c r="D74" s="894" t="str">
        <x:v>July 2026</x:v>
      </x:c>
      <x:c r="E74" s="882" t="str">
        <x:v>Independent labour-market forecasting required</x:v>
      </x:c>
      <x:c r="F74" s="894" t="str">
        <x:v>Scenario assumption</x:v>
      </x:c>
      <x:c r="G74" s="894" t="str">
        <x:v>Oversupply, wage suppression, substitution, automation, regional mismatch and provider capacity</x:v>
      </x:c>
      <x:c r="H74" s="894" t="str">
        <x:v>Low</x:v>
      </x:c>
      <x:c r="I74" s="894" t="str">
        <x:v>Do not assume more qualifications automatically raise productivity.</x:v>
      </x:c>
      <x:c r="J74" s="339"/>
      <x:c r="K74" s="339"/>
      <x:c r="L74" s="339"/>
      <x:c r="M74" s="339"/>
      <x:c r="N74" s="339"/>
      <x:c r="O74" s="339"/>
      <x:c r="P74" s="339"/>
      <x:c r="Q74" s="339"/>
      <x:c r="R74" s="339"/>
      <x:c r="S74" s="339"/>
      <x:c r="T74" s="339"/>
      <x:c r="U74" s="1194"/>
      <x:c r="V74" s="1194"/>
      <x:c r="W74" s="1194"/>
      <x:c r="X74" s="1194"/>
      <x:c r="Y74" s="339"/>
      <x:c r="Z74" s="339"/>
    </x:row>
    <x:row r="75">
      <x:c r="A75" s="893" t="str">
        <x:v>A20</x:v>
      </x:c>
      <x:c r="B75" s="894" t="str">
        <x:v>Universal core and targeted accelerator design</x:v>
      </x:c>
      <x:c r="C75" s="894" t="str">
        <x:v>Model assumption</x:v>
      </x:c>
      <x:c r="D75" s="894" t="str">
        <x:v>July 2026</x:v>
      </x:c>
      <x:c r="E75" s="882" t="str">
        <x:v>Stage 0 service design and cost evidence required</x:v>
      </x:c>
      <x:c r="F75" s="894" t="str">
        <x:v>Scenario assumption</x:v>
      </x:c>
      <x:c r="G75" s="894" t="str">
        <x:v>Separate intensity, cost and impact by participant group</x:v>
      </x:c>
      <x:c r="H75" s="894" t="str">
        <x:v>Low</x:v>
      </x:c>
      <x:c r="I75" s="894" t="str">
        <x:v>The scenario is for break-even testing, not a funding estimate.</x:v>
      </x:c>
      <x:c r="J75" s="339"/>
      <x:c r="K75" s="339"/>
      <x:c r="L75" s="339"/>
      <x:c r="M75" s="339"/>
      <x:c r="N75" s="339"/>
      <x:c r="O75" s="339"/>
      <x:c r="P75" s="339"/>
      <x:c r="Q75" s="339"/>
      <x:c r="R75" s="339"/>
      <x:c r="S75" s="339"/>
      <x:c r="T75" s="339"/>
      <x:c r="U75" s="1194"/>
      <x:c r="V75" s="1194"/>
      <x:c r="W75" s="1194"/>
      <x:c r="X75" s="1194"/>
      <x:c r="Y75" s="339"/>
      <x:c r="Z75" s="339"/>
    </x:row>
    <x:row r="76">
      <x:c r="A76" s="893" t="str">
        <x:v>A21</x:v>
      </x:c>
      <x:c r="B76" s="894" t="str">
        <x:v>Pooled industry and partner co-investment</x:v>
      </x:c>
      <x:c r="C76" s="894" t="str">
        <x:v>Model requirement</x:v>
      </x:c>
      <x:c r="D76" s="894" t="str">
        <x:v>July 2026</x:v>
      </x:c>
      <x:c r="E76" s="882" t="str">
        <x:v>Signed commitments and governance agreements required</x:v>
      </x:c>
      <x:c r="F76" s="894" t="str">
        <x:v>Validation requirement</x:v>
      </x:c>
      <x:c r="G76" s="894" t="str">
        <x:v>Employer, sector, iwi, philanthropic and provider contributions</x:v>
      </x:c>
      <x:c r="H76" s="894" t="str">
        <x:v>Low until committed</x:v>
      </x:c>
      <x:c r="I76" s="894" t="str">
        <x:v>Central financial results include zero uncommitted funding.</x:v>
      </x:c>
      <x:c r="J76" s="339"/>
      <x:c r="K76" s="339"/>
      <x:c r="L76" s="339"/>
      <x:c r="M76" s="339"/>
      <x:c r="N76" s="339"/>
      <x:c r="O76" s="339"/>
      <x:c r="P76" s="339"/>
      <x:c r="Q76" s="339"/>
      <x:c r="R76" s="339"/>
      <x:c r="S76" s="339"/>
      <x:c r="T76" s="339"/>
      <x:c r="U76" s="1194"/>
      <x:c r="V76" s="1194"/>
      <x:c r="W76" s="1194"/>
      <x:c r="X76" s="1194"/>
      <x:c r="Y76" s="339"/>
      <x:c r="Z76" s="339"/>
    </x:row>
    <x:row r="77">
      <x:c r="A77" s="893" t="str">
        <x:v>A22</x:v>
      </x:c>
      <x:c r="B77" s="894" t="str">
        <x:v>Stage-gate economic thresholds</x:v>
      </x:c>
      <x:c r="C77" s="894" t="str">
        <x:v>Model assumption</x:v>
      </x:c>
      <x:c r="D77" s="894" t="str">
        <x:v>July 2026</x:v>
      </x:c>
      <x:c r="E77" s="882" t="str">
        <x:v>Treasury, evaluator, school and governance agreement required</x:v>
      </x:c>
      <x:c r="F77" s="894" t="str">
        <x:v>Decision assumption</x:v>
      </x:c>
      <x:c r="G77" s="894" t="str">
        <x:v>Cost per outcome, BCR, fiscal coverage, equity, workload and gaming</x:v>
      </x:c>
      <x:c r="H77" s="894" t="str">
        <x:v>Low</x:v>
      </x:c>
      <x:c r="I77" s="894" t="str">
        <x:v>Thresholds are explicit provisional tests, not evidence of performance.</x:v>
      </x:c>
      <x:c r="J77" s="339"/>
      <x:c r="K77" s="339"/>
      <x:c r="L77" s="339"/>
      <x:c r="M77" s="339"/>
      <x:c r="N77" s="339"/>
      <x:c r="O77" s="339"/>
      <x:c r="P77" s="339"/>
      <x:c r="Q77" s="339"/>
      <x:c r="R77" s="339"/>
      <x:c r="S77" s="339"/>
      <x:c r="T77" s="339"/>
      <x:c r="U77" s="1194"/>
      <x:c r="V77" s="1194"/>
      <x:c r="W77" s="1194"/>
      <x:c r="X77" s="1194"/>
      <x:c r="Y77" s="339"/>
      <x:c r="Z77" s="339"/>
    </x:row>
    <x:row r="78">
      <x:c r="A78" s="339" t="str">
        <x:v>A22</x:v>
      </x:c>
      <x:c r="B78" s="339" t="str">
        <x:v>Stage-gate economic thresholds</x:v>
      </x:c>
      <x:c r="C78" s="339" t="str">
        <x:v>Model assumption</x:v>
      </x:c>
      <x:c r="D78" s="339" t="str">
        <x:v>July 2026</x:v>
      </x:c>
      <x:c r="E78" s="339" t="str">
        <x:v>Treasury, evaluator, school and governance agreement required</x:v>
      </x:c>
      <x:c r="F78" s="339" t="str">
        <x:v>Decision assumption</x:v>
      </x:c>
      <x:c r="G78" s="339" t="str">
        <x:v>Cost per outcome, BCR, fiscal coverage, equity, workload and gaming</x:v>
      </x:c>
      <x:c r="H78" s="339" t="str">
        <x:v>Low</x:v>
      </x:c>
      <x:c r="I78" s="339" t="str">
        <x:v>Thresholds are explicit provisional tests, not evidence of performance.</x:v>
      </x:c>
      <x:c r="J78" s="339"/>
      <x:c r="K78" s="339"/>
      <x:c r="L78" s="339"/>
      <x:c r="M78" s="339"/>
      <x:c r="N78" s="339"/>
      <x:c r="O78" s="339"/>
      <x:c r="P78" s="339"/>
      <x:c r="Q78" s="339"/>
      <x:c r="R78" s="339"/>
      <x:c r="S78" s="339"/>
      <x:c r="T78" s="339"/>
      <x:c r="U78" s="1194"/>
      <x:c r="V78" s="1194"/>
      <x:c r="W78" s="1194"/>
      <x:c r="X78" s="1194"/>
      <x:c r="Y78" s="339"/>
      <x:c r="Z78" s="339"/>
    </x:row>
    <x:row r="79">
      <x:c r="A79" s="339" t="str">
        <x:v>A22</x:v>
      </x:c>
      <x:c r="B79" s="339" t="str">
        <x:v>Stage-gate economic thresholds</x:v>
      </x:c>
      <x:c r="C79" s="339" t="str">
        <x:v>Model assumption</x:v>
      </x:c>
      <x:c r="D79" s="339" t="str">
        <x:v>July 2026</x:v>
      </x:c>
      <x:c r="E79" s="339" t="str">
        <x:v>Treasury, evaluator, school and governance agreement required</x:v>
      </x:c>
      <x:c r="F79" s="339" t="str">
        <x:v>Decision assumption</x:v>
      </x:c>
      <x:c r="G79" s="339" t="str">
        <x:v>Cost per outcome, BCR, fiscal coverage, equity, workload and gaming</x:v>
      </x:c>
      <x:c r="H79" s="339" t="str">
        <x:v>Low</x:v>
      </x:c>
      <x:c r="I79" s="339" t="str">
        <x:v>Thresholds are explicit provisional tests, not evidence of performance.</x:v>
      </x:c>
      <x:c r="J79" s="339"/>
      <x:c r="K79" s="339"/>
      <x:c r="L79" s="339"/>
      <x:c r="M79" s="339"/>
      <x:c r="N79" s="339"/>
      <x:c r="O79" s="339"/>
      <x:c r="P79" s="339"/>
      <x:c r="Q79" s="339"/>
      <x:c r="R79" s="339"/>
      <x:c r="S79" s="339"/>
      <x:c r="T79" s="339"/>
      <x:c r="U79" s="1194"/>
      <x:c r="V79" s="1194"/>
      <x:c r="W79" s="1194"/>
      <x:c r="X79" s="1194"/>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1194"/>
      <x:c r="V80" s="1194"/>
      <x:c r="W80" s="1194"/>
      <x:c r="X80" s="1194"/>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1194"/>
      <x:c r="V81" s="1194"/>
      <x:c r="W81" s="1194"/>
      <x:c r="X81" s="1194"/>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1194"/>
      <x:c r="V82" s="1194"/>
      <x:c r="W82" s="1194"/>
      <x:c r="X82" s="1194"/>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1194"/>
      <x:c r="V83" s="1194"/>
      <x:c r="W83" s="1194"/>
      <x:c r="X83" s="1194"/>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1194"/>
      <x:c r="V84" s="1194"/>
      <x:c r="W84" s="1194"/>
      <x:c r="X84" s="1194"/>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1194"/>
      <x:c r="V85" s="1194"/>
      <x:c r="W85" s="1194"/>
      <x:c r="X85" s="1194"/>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1194"/>
      <x:c r="V86" s="1194"/>
      <x:c r="W86" s="1194"/>
      <x:c r="X86" s="1194"/>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1194"/>
      <x:c r="V87" s="1194"/>
      <x:c r="W87" s="1194"/>
      <x:c r="X87" s="1194"/>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1194"/>
      <x:c r="V88" s="1194"/>
      <x:c r="W88" s="1194"/>
      <x:c r="X88" s="1194"/>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1194"/>
      <x:c r="V89" s="1194"/>
      <x:c r="W89" s="1194"/>
      <x:c r="X89" s="1194"/>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1194"/>
      <x:c r="V90" s="1194"/>
      <x:c r="W90" s="1194"/>
      <x:c r="X90" s="1194"/>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1194"/>
      <x:c r="V91" s="1194"/>
      <x:c r="W91" s="1194"/>
      <x:c r="X91" s="1194"/>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1194"/>
      <x:c r="V92" s="1194"/>
      <x:c r="W92" s="1194"/>
      <x:c r="X92" s="1194"/>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1194"/>
      <x:c r="V93" s="1194"/>
      <x:c r="W93" s="1194"/>
      <x:c r="X93" s="1194"/>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1194"/>
      <x:c r="V94" s="1194"/>
      <x:c r="W94" s="1194"/>
      <x:c r="X94" s="1194"/>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1194"/>
      <x:c r="V95" s="1194"/>
      <x:c r="W95" s="1194"/>
      <x:c r="X95" s="1194"/>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1194"/>
      <x:c r="V96" s="1194"/>
      <x:c r="W96" s="1194"/>
      <x:c r="X96" s="1194"/>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1194"/>
      <x:c r="V97" s="1194"/>
      <x:c r="W97" s="1194"/>
      <x:c r="X97" s="1194"/>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1194"/>
      <x:c r="V98" s="1194"/>
      <x:c r="W98" s="1194"/>
      <x:c r="X98" s="1194"/>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1194"/>
      <x:c r="V99" s="1194"/>
      <x:c r="W99" s="1194"/>
      <x:c r="X99" s="1194"/>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1194"/>
      <x:c r="V100" s="1194"/>
      <x:c r="W100" s="1194"/>
      <x:c r="X100" s="1194"/>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1194"/>
      <x:c r="V101" s="1194"/>
      <x:c r="W101" s="1194"/>
      <x:c r="X101" s="1194"/>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1194"/>
      <x:c r="V102" s="1194"/>
      <x:c r="W102" s="1194"/>
      <x:c r="X102" s="1194"/>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1194"/>
      <x:c r="V103" s="1194"/>
      <x:c r="W103" s="1194"/>
      <x:c r="X103" s="1194"/>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1194"/>
      <x:c r="V104" s="1194"/>
      <x:c r="W104" s="1194"/>
      <x:c r="X104" s="1194"/>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1194"/>
      <x:c r="V105" s="1194"/>
      <x:c r="W105" s="1194"/>
      <x:c r="X105" s="1194"/>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1194"/>
      <x:c r="V106" s="1194"/>
      <x:c r="W106" s="1194"/>
      <x:c r="X106" s="1194"/>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1194"/>
      <x:c r="V107" s="1194"/>
      <x:c r="W107" s="1194"/>
      <x:c r="X107" s="1194"/>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1194"/>
      <x:c r="V108" s="1194"/>
      <x:c r="W108" s="1194"/>
      <x:c r="X108" s="1194"/>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1194"/>
      <x:c r="V109" s="1194"/>
      <x:c r="W109" s="1194"/>
      <x:c r="X109" s="1194"/>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1194"/>
      <x:c r="V110" s="1194"/>
      <x:c r="W110" s="1194"/>
      <x:c r="X110" s="1194"/>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1194"/>
      <x:c r="V111" s="1194"/>
      <x:c r="W111" s="1194"/>
      <x:c r="X111" s="1194"/>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1194"/>
      <x:c r="V112" s="1194"/>
      <x:c r="W112" s="1194"/>
      <x:c r="X112" s="1194"/>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1194"/>
      <x:c r="V113" s="1194"/>
      <x:c r="W113" s="1194"/>
      <x:c r="X113" s="1194"/>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1194"/>
      <x:c r="V114" s="1194"/>
      <x:c r="W114" s="1194"/>
      <x:c r="X114" s="1194"/>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1194"/>
      <x:c r="V115" s="1194"/>
      <x:c r="W115" s="1194"/>
      <x:c r="X115" s="1194"/>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1194"/>
      <x:c r="V116" s="1194"/>
      <x:c r="W116" s="1194"/>
      <x:c r="X116" s="1194"/>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1194"/>
      <x:c r="V117" s="1194"/>
      <x:c r="W117" s="1194"/>
      <x:c r="X117" s="1194"/>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1194"/>
      <x:c r="V118" s="1194"/>
      <x:c r="W118" s="1194"/>
      <x:c r="X118" s="1194"/>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1194"/>
      <x:c r="V119" s="1194"/>
      <x:c r="W119" s="1194"/>
      <x:c r="X119" s="1194"/>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1194"/>
      <x:c r="V120" s="1194"/>
      <x:c r="W120" s="1194"/>
      <x:c r="X120" s="1194"/>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1194"/>
      <x:c r="V121" s="1194"/>
      <x:c r="W121" s="1194"/>
      <x:c r="X121" s="1194"/>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1194"/>
      <x:c r="V122" s="1194"/>
      <x:c r="W122" s="1194"/>
      <x:c r="X122" s="1194"/>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1194"/>
      <x:c r="V123" s="1194"/>
      <x:c r="W123" s="1194"/>
      <x:c r="X123" s="1194"/>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1194"/>
      <x:c r="V124" s="1194"/>
      <x:c r="W124" s="1194"/>
      <x:c r="X124" s="1194"/>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1194"/>
      <x:c r="V125" s="1194"/>
      <x:c r="W125" s="1194"/>
      <x:c r="X125" s="1194"/>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1194"/>
      <x:c r="V126" s="1194"/>
      <x:c r="W126" s="1194"/>
      <x:c r="X126" s="1194"/>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1194"/>
      <x:c r="V127" s="1194"/>
      <x:c r="W127" s="1194"/>
      <x:c r="X127" s="1194"/>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1194"/>
      <x:c r="V128" s="1194"/>
      <x:c r="W128" s="1194"/>
      <x:c r="X128" s="1194"/>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1194"/>
      <x:c r="V129" s="1194"/>
      <x:c r="W129" s="1194"/>
      <x:c r="X129" s="1194"/>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1194"/>
      <x:c r="V130" s="1194"/>
      <x:c r="W130" s="1194"/>
      <x:c r="X130" s="1194"/>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1194"/>
      <x:c r="V131" s="1194"/>
      <x:c r="W131" s="1194"/>
      <x:c r="X131" s="1194"/>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1194"/>
      <x:c r="V132" s="1194"/>
      <x:c r="W132" s="1194"/>
      <x:c r="X132" s="1194"/>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1194"/>
      <x:c r="V133" s="1194"/>
      <x:c r="W133" s="1194"/>
      <x:c r="X133" s="1194"/>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1194"/>
      <x:c r="V134" s="1194"/>
      <x:c r="W134" s="1194"/>
      <x:c r="X134" s="1194"/>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1194"/>
      <x:c r="V135" s="1194"/>
      <x:c r="W135" s="1194"/>
      <x:c r="X135" s="1194"/>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1194"/>
      <x:c r="V136" s="1194"/>
      <x:c r="W136" s="1194"/>
      <x:c r="X136" s="1194"/>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1194"/>
      <x:c r="V137" s="1194"/>
      <x:c r="W137" s="1194"/>
      <x:c r="X137" s="1194"/>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1194"/>
      <x:c r="V138" s="1194"/>
      <x:c r="W138" s="1194"/>
      <x:c r="X138" s="1194"/>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1194"/>
      <x:c r="V139" s="1194"/>
      <x:c r="W139" s="1194"/>
      <x:c r="X139" s="1194"/>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1194"/>
      <x:c r="V140" s="1194"/>
      <x:c r="W140" s="1194"/>
      <x:c r="X140" s="1194"/>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1194"/>
      <x:c r="V141" s="1194"/>
      <x:c r="W141" s="1194"/>
      <x:c r="X141" s="1194"/>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1194"/>
      <x:c r="V142" s="1194"/>
      <x:c r="W142" s="1194"/>
      <x:c r="X142" s="1194"/>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1194"/>
      <x:c r="V143" s="1194"/>
      <x:c r="W143" s="1194"/>
      <x:c r="X143" s="1194"/>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1194"/>
      <x:c r="V144" s="1194"/>
      <x:c r="W144" s="1194"/>
      <x:c r="X144" s="1194"/>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1194"/>
      <x:c r="V145" s="1194"/>
      <x:c r="W145" s="1194"/>
      <x:c r="X145" s="1194"/>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1194"/>
      <x:c r="V146" s="1194"/>
      <x:c r="W146" s="1194"/>
      <x:c r="X146" s="1194"/>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1194"/>
      <x:c r="V147" s="1194"/>
      <x:c r="W147" s="1194"/>
      <x:c r="X147" s="1194"/>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1194"/>
      <x:c r="V148" s="1194"/>
      <x:c r="W148" s="1194"/>
      <x:c r="X148" s="1194"/>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1194"/>
      <x:c r="V149" s="1194"/>
      <x:c r="W149" s="1194"/>
      <x:c r="X149" s="1194"/>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1194"/>
      <x:c r="V150" s="1194"/>
      <x:c r="W150" s="1194"/>
      <x:c r="X150" s="1194"/>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1194"/>
      <x:c r="V151" s="1194"/>
      <x:c r="W151" s="1194"/>
      <x:c r="X151" s="1194"/>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1194"/>
      <x:c r="V152" s="1194"/>
      <x:c r="W152" s="1194"/>
      <x:c r="X152" s="1194"/>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1194"/>
      <x:c r="V153" s="1194"/>
      <x:c r="W153" s="1194"/>
      <x:c r="X153" s="1194"/>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1194"/>
      <x:c r="V154" s="1194"/>
      <x:c r="W154" s="1194"/>
      <x:c r="X154" s="1194"/>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1194"/>
      <x:c r="V155" s="1194"/>
      <x:c r="W155" s="1194"/>
      <x:c r="X155" s="1194"/>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1194"/>
      <x:c r="V156" s="1194"/>
      <x:c r="W156" s="1194"/>
      <x:c r="X156" s="1194"/>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1194"/>
      <x:c r="V157" s="1194"/>
      <x:c r="W157" s="1194"/>
      <x:c r="X157" s="1194"/>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1194"/>
      <x:c r="V158" s="1194"/>
      <x:c r="W158" s="1194"/>
      <x:c r="X158" s="1194"/>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1194"/>
      <x:c r="V159" s="1194"/>
      <x:c r="W159" s="1194"/>
      <x:c r="X159" s="1194"/>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1194"/>
      <x:c r="V160" s="1194"/>
      <x:c r="W160" s="1194"/>
      <x:c r="X160" s="1194"/>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1194"/>
      <x:c r="V161" s="1194"/>
      <x:c r="W161" s="1194"/>
      <x:c r="X161" s="1194"/>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1194"/>
      <x:c r="V162" s="1194"/>
      <x:c r="W162" s="1194"/>
      <x:c r="X162" s="1194"/>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1194"/>
      <x:c r="V163" s="1194"/>
      <x:c r="W163" s="1194"/>
      <x:c r="X163" s="1194"/>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1194"/>
      <x:c r="V164" s="1194"/>
      <x:c r="W164" s="1194"/>
      <x:c r="X164" s="1194"/>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1194"/>
      <x:c r="V165" s="1194"/>
      <x:c r="W165" s="1194"/>
      <x:c r="X165" s="1194"/>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1194"/>
      <x:c r="V166" s="1194"/>
      <x:c r="W166" s="1194"/>
      <x:c r="X166" s="1194"/>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1194"/>
      <x:c r="V167" s="1194"/>
      <x:c r="W167" s="1194"/>
      <x:c r="X167" s="1194"/>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1194"/>
      <x:c r="V168" s="1194"/>
      <x:c r="W168" s="1194"/>
      <x:c r="X168" s="1194"/>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1194"/>
      <x:c r="V169" s="1194"/>
      <x:c r="W169" s="1194"/>
      <x:c r="X169" s="1194"/>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1194"/>
      <x:c r="V170" s="1194"/>
      <x:c r="W170" s="1194"/>
      <x:c r="X170" s="1194"/>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1194"/>
      <x:c r="V171" s="1194"/>
      <x:c r="W171" s="1194"/>
      <x:c r="X171" s="1194"/>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1194"/>
      <x:c r="V172" s="1194"/>
      <x:c r="W172" s="1194"/>
      <x:c r="X172" s="1194"/>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1194"/>
      <x:c r="V173" s="1194"/>
      <x:c r="W173" s="1194"/>
      <x:c r="X173" s="1194"/>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1194"/>
      <x:c r="V174" s="1194"/>
      <x:c r="W174" s="1194"/>
      <x:c r="X174" s="1194"/>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1194"/>
      <x:c r="V175" s="1194"/>
      <x:c r="W175" s="1194"/>
      <x:c r="X175" s="1194"/>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1194"/>
      <x:c r="V176" s="1194"/>
      <x:c r="W176" s="1194"/>
      <x:c r="X176" s="1194"/>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1194"/>
      <x:c r="V177" s="1194"/>
      <x:c r="W177" s="1194"/>
      <x:c r="X177" s="1194"/>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1194"/>
      <x:c r="V178" s="1194"/>
      <x:c r="W178" s="1194"/>
      <x:c r="X178" s="1194"/>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1194"/>
      <x:c r="V179" s="1194"/>
      <x:c r="W179" s="1194"/>
      <x:c r="X179" s="1194"/>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1194"/>
      <x:c r="V180" s="1194"/>
      <x:c r="W180" s="1194"/>
      <x:c r="X180" s="1194"/>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1194"/>
      <x:c r="V181" s="1194"/>
      <x:c r="W181" s="1194"/>
      <x:c r="X181" s="1194"/>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1194"/>
      <x:c r="V182" s="1194"/>
      <x:c r="W182" s="1194"/>
      <x:c r="X182" s="1194"/>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1194"/>
      <x:c r="V183" s="1194"/>
      <x:c r="W183" s="1194"/>
      <x:c r="X183" s="1194"/>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1194"/>
      <x:c r="V184" s="1194"/>
      <x:c r="W184" s="1194"/>
      <x:c r="X184" s="1194"/>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1194"/>
      <x:c r="V185" s="1194"/>
      <x:c r="W185" s="1194"/>
      <x:c r="X185" s="1194"/>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1194"/>
      <x:c r="V186" s="1194"/>
      <x:c r="W186" s="1194"/>
      <x:c r="X186" s="1194"/>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1194"/>
      <x:c r="V187" s="1194"/>
      <x:c r="W187" s="1194"/>
      <x:c r="X187" s="1194"/>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1194"/>
      <x:c r="V188" s="1194"/>
      <x:c r="W188" s="1194"/>
      <x:c r="X188" s="1194"/>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1194"/>
      <x:c r="V189" s="1194"/>
      <x:c r="W189" s="1194"/>
      <x:c r="X189" s="1194"/>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1194"/>
      <x:c r="V190" s="1194"/>
      <x:c r="W190" s="1194"/>
      <x:c r="X190" s="1194"/>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1194"/>
      <x:c r="V191" s="1194"/>
      <x:c r="W191" s="1194"/>
      <x:c r="X191" s="1194"/>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1194"/>
      <x:c r="V192" s="1194"/>
      <x:c r="W192" s="1194"/>
      <x:c r="X192" s="1194"/>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1194"/>
      <x:c r="V193" s="1194"/>
      <x:c r="W193" s="1194"/>
      <x:c r="X193" s="1194"/>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1194"/>
      <x:c r="V194" s="1194"/>
      <x:c r="W194" s="1194"/>
      <x:c r="X194" s="1194"/>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1194"/>
      <x:c r="V195" s="1194"/>
      <x:c r="W195" s="1194"/>
      <x:c r="X195" s="1194"/>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1194"/>
      <x:c r="V196" s="1194"/>
      <x:c r="W196" s="1194"/>
      <x:c r="X196" s="1194"/>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1194"/>
      <x:c r="V197" s="1194"/>
      <x:c r="W197" s="1194"/>
      <x:c r="X197" s="1194"/>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1194"/>
      <x:c r="V198" s="1194"/>
      <x:c r="W198" s="1194"/>
      <x:c r="X198" s="1194"/>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1194"/>
      <x:c r="V199" s="1194"/>
      <x:c r="W199" s="1194"/>
      <x:c r="X199" s="1194"/>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1194"/>
      <x:c r="V200" s="1194"/>
      <x:c r="W200" s="1194"/>
      <x:c r="X200" s="1194"/>
      <x:c r="Y200" s="339"/>
      <x:c r="Z200" s="339"/>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I1"/>
    <x:mergeCell ref="A2:I2"/>
    <x:mergeCell ref="U1:X1"/>
    <x:mergeCell ref="V2:X2"/>
    <x:mergeCell ref="V3:X3"/>
    <x:mergeCell ref="V4:X4"/>
    <x:mergeCell ref="V5:X5"/>
    <x:mergeCell ref="V6:X6"/>
    <x:mergeCell ref="V7:X7"/>
  </x:mergeCells>
  <x:pageMargins left="0.7" right="0.7" top="0.75" bottom="0.75" header="0.3" footer="0.3"/>
</x:worksheet>
</file>

<file path=xl/worksheets/sheet13.xml><?xml version="1.0" encoding="utf-8"?>
<x:worksheet xmlns:x="http://schemas.openxmlformats.org/spreadsheetml/2006/main">
  <x:sheetFormatPr defaultRowHeight="15"/>
  <x:cols>
    <x:col min="1" max="1" width="20" hidden="0" customWidth="1"/>
    <x:col min="2" max="2" width="48" hidden="0" customWidth="1"/>
    <x:col min="3" max="3" width="24" hidden="0" customWidth="1"/>
    <x:col min="4" max="4" width="15" hidden="0" customWidth="1"/>
    <x:col min="5" max="5" width="15" hidden="0" customWidth="1"/>
    <x:col min="6" max="6" width="15" hidden="0" customWidth="1"/>
    <x:col min="7" max="7" width="16" hidden="0" customWidth="1"/>
    <x:col min="8" max="8" width="25" hidden="0" customWidth="1"/>
    <x:col min="9" max="9" width="58" hidden="0" customWidth="1"/>
    <x:col min="21" max="21" width="20" hidden="0" customWidth="1"/>
    <x:col min="22" max="22" width="24" hidden="0" customWidth="1"/>
    <x:col min="23" max="23" width="24" hidden="0" customWidth="1"/>
    <x:col min="24" max="24" width="24" hidden="0" customWidth="1"/>
  </x:cols>
  <x:sheetData>
    <x:row r="1" ht="30" customHeight="1">
      <x:c r="A1" s="338" t="str">
        <x:v>Assumptions and Scenario Controls</x:v>
      </x:c>
      <x:c r="B1" s="338" t="str">
        <x:v>Assumptions and Scenario Controls</x:v>
      </x:c>
      <x:c r="C1" s="338" t="str">
        <x:v>Assumptions and Scenario Controls</x:v>
      </x:c>
      <x:c r="D1" s="338" t="str">
        <x:v>Assumptions and Scenario Controls</x:v>
      </x:c>
      <x:c r="E1" s="338" t="str">
        <x:v>Assumptions and Scenario Controls</x:v>
      </x:c>
      <x:c r="F1" s="338" t="str">
        <x:v>Assumptions and Scenario Controls</x:v>
      </x:c>
      <x:c r="G1" s="338" t="str">
        <x:v>Assumptions and Scenario Controls</x:v>
      </x:c>
      <x:c r="H1" s="338" t="str">
        <x:v>Assumptions and Scenario Controls</x:v>
      </x:c>
      <x:c r="I1" s="338" t="str">
        <x:v>Assumptions and Scenario Controls</x:v>
      </x:c>
      <x:c r="J1" s="339"/>
      <x:c r="K1" s="339"/>
      <x:c r="L1" s="339"/>
      <x:c r="M1" s="339"/>
      <x:c r="N1" s="339"/>
      <x:c r="O1" s="339"/>
      <x:c r="P1" s="339"/>
      <x:c r="Q1" s="339"/>
      <x:c r="R1" s="339"/>
      <x:c r="S1" s="339"/>
      <x:c r="T1" s="339"/>
      <x:c r="U1" s="1194"/>
      <x:c r="V1" s="1194"/>
      <x:c r="W1" s="1194"/>
      <x:c r="X1" s="1194"/>
      <x:c r="Y1" s="339"/>
      <x:c r="Z1" s="339"/>
    </x:row>
    <x:row r="2" ht="28" customHeight="1">
      <x:c r="A2" s="340" t="str">
        <x:v>Blue figures are editable inputs. Yellow cells are material assumptions that require verification before the proposal can claim a funding-ready cost.</x:v>
      </x:c>
      <x:c r="B2" s="340" t="str">
        <x:v>Blue figures are editable inputs. Yellow cells are material assumptions that require verification before the proposal can claim a funding-ready cost.</x:v>
      </x:c>
      <x:c r="C2" s="340" t="str">
        <x:v>Blue figures are editable inputs. Yellow cells are material assumptions that require verification before the proposal can claim a funding-ready cost.</x:v>
      </x:c>
      <x:c r="D2" s="340" t="str">
        <x:v>Blue figures are editable inputs. Yellow cells are material assumptions that require verification before the proposal can claim a funding-ready cost.</x:v>
      </x:c>
      <x:c r="E2" s="340" t="str">
        <x:v>Blue figures are editable inputs. Yellow cells are material assumptions that require verification before the proposal can claim a funding-ready cost.</x:v>
      </x:c>
      <x:c r="F2" s="340" t="str">
        <x:v>Blue figures are editable inputs. Yellow cells are material assumptions that require verification before the proposal can claim a funding-ready cost.</x:v>
      </x:c>
      <x:c r="G2" s="340" t="str">
        <x:v>Blue figures are editable inputs. Yellow cells are material assumptions that require verification before the proposal can claim a funding-ready cost.</x:v>
      </x:c>
      <x:c r="H2" s="340" t="str">
        <x:v>Blue figures are editable inputs. Yellow cells are material assumptions that require verification before the proposal can claim a funding-ready cost.</x:v>
      </x:c>
      <x:c r="I2" s="340" t="str">
        <x:v>Blue figures are editable inputs. Yellow cells are material assumptions that require verification before the proposal can claim a funding-ready cost.</x:v>
      </x:c>
      <x:c r="J2" s="339"/>
      <x:c r="K2" s="339"/>
      <x:c r="L2" s="339"/>
      <x:c r="M2" s="339"/>
      <x:c r="N2" s="339"/>
      <x:c r="O2" s="339"/>
      <x:c r="P2" s="339"/>
      <x:c r="Q2" s="339"/>
      <x:c r="R2" s="339"/>
      <x:c r="S2" s="339"/>
      <x:c r="T2" s="339"/>
      <x:c r="U2" s="1195"/>
      <x:c r="V2" s="1195"/>
      <x:c r="W2" s="1195"/>
      <x:c r="X2" s="1195"/>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1195"/>
      <x:c r="V3" s="1195"/>
      <x:c r="W3" s="1195"/>
      <x:c r="X3" s="1195"/>
      <x:c r="Y3" s="339"/>
      <x:c r="Z3" s="339"/>
    </x:row>
    <x:row r="4" ht="28" customHeight="1">
      <x:c r="A4" s="343" t="str">
        <x:v>Section</x:v>
      </x:c>
      <x:c r="B4" s="343" t="str">
        <x:v>Assumption</x:v>
      </x:c>
      <x:c r="C4" s="343" t="str">
        <x:v>Unit</x:v>
      </x:c>
      <x:c r="D4" s="343" t="str">
        <x:v>Low</x:v>
      </x:c>
      <x:c r="E4" s="343" t="str">
        <x:v>Central</x:v>
      </x:c>
      <x:c r="F4" s="343" t="str">
        <x:v>High</x:v>
      </x:c>
      <x:c r="G4" s="343" t="str">
        <x:v>Source ID</x:v>
      </x:c>
      <x:c r="H4" s="343" t="str">
        <x:v>Evidence status</x:v>
      </x:c>
      <x:c r="I4" s="343" t="str">
        <x:v>Notes</x:v>
      </x:c>
      <x:c r="J4" s="339"/>
      <x:c r="K4" s="339"/>
      <x:c r="L4" s="339"/>
      <x:c r="M4" s="339"/>
      <x:c r="N4" s="339"/>
      <x:c r="O4" s="339"/>
      <x:c r="P4" s="339"/>
      <x:c r="Q4" s="339"/>
      <x:c r="R4" s="339"/>
      <x:c r="S4" s="339"/>
      <x:c r="T4" s="339"/>
      <x:c r="U4" s="1195"/>
      <x:c r="V4" s="1195"/>
      <x:c r="W4" s="1195"/>
      <x:c r="X4" s="1195"/>
      <x:c r="Y4" s="339"/>
      <x:c r="Z4" s="339"/>
    </x:row>
    <x:row r="5">
      <x:c r="A5" s="62" t="str">
        <x:v>General</x:v>
      </x:c>
      <x:c r="B5" s="62" t="str">
        <x:v>Model base year</x:v>
      </x:c>
      <x:c r="C5" s="58" t="str">
        <x:v>year</x:v>
      </x:c>
      <x:c r="D5" s="59" t="n">
        <x:v>2026</x:v>
      </x:c>
      <x:c r="E5" s="59" t="n">
        <x:v>2026</x:v>
      </x:c>
      <x:c r="F5" s="59" t="n">
        <x:v>2026</x:v>
      </x:c>
      <x:c r="G5" s="58" t="str"/>
      <x:c r="H5" s="58" t="str">
        <x:v>Fixed</x:v>
      </x:c>
      <x:c r="I5" s="58" t="str">
        <x:v>Current planning year.</x:v>
      </x:c>
      <x:c r="J5" s="339"/>
      <x:c r="K5" s="339"/>
      <x:c r="L5" s="339"/>
      <x:c r="M5" s="339"/>
      <x:c r="N5" s="339"/>
      <x:c r="O5" s="339"/>
      <x:c r="P5" s="339"/>
      <x:c r="Q5" s="339"/>
      <x:c r="R5" s="339"/>
      <x:c r="S5" s="339"/>
      <x:c r="T5" s="339"/>
      <x:c r="U5" s="1195"/>
      <x:c r="V5" s="1195"/>
      <x:c r="W5" s="1195"/>
      <x:c r="X5" s="1195"/>
      <x:c r="Y5" s="339"/>
      <x:c r="Z5" s="339"/>
    </x:row>
    <x:row r="6">
      <x:c r="A6" s="28" t="str">
        <x:v>General</x:v>
      </x:c>
      <x:c r="B6" s="28" t="str">
        <x:v>2012 to 2026 CPI uplift factor</x:v>
      </x:c>
      <x:c r="C6" s="28" t="str">
        <x:v>x</x:v>
      </x:c>
      <x:c r="D6" s="476" t="n">
        <x:v>1.4042999475616151</x:v>
      </x:c>
      <x:c r="E6" s="476" t="n">
        <x:v>1.4042999475616151</x:v>
      </x:c>
      <x:c r="F6" s="476" t="n">
        <x:v>1.4042999475616151</x:v>
      </x:c>
      <x:c r="G6" s="28" t="str">
        <x:v>S03</x:v>
      </x:c>
      <x:c r="H6" s="28" t="str">
        <x:v>Verify at finalisation</x:v>
      </x:c>
      <x:c r="I6" s="28" t="str">
        <x:v>Planning uplift to March 2026: Stats NZ all-groups CPI 1339 ÷ 953.5 (December 2012) = 1.4043. Refresh at the valuation date.</x:v>
      </x:c>
      <x:c r="J6" s="339"/>
      <x:c r="K6" s="339"/>
      <x:c r="L6" s="339"/>
      <x:c r="M6" s="339"/>
      <x:c r="N6" s="339"/>
      <x:c r="O6" s="339"/>
      <x:c r="P6" s="339"/>
      <x:c r="Q6" s="339"/>
      <x:c r="R6" s="339"/>
      <x:c r="S6" s="339"/>
      <x:c r="T6" s="339"/>
      <x:c r="U6" s="1195"/>
      <x:c r="V6" s="1195"/>
      <x:c r="W6" s="1195"/>
      <x:c r="X6" s="1195"/>
      <x:c r="Y6" s="339"/>
      <x:c r="Z6" s="339"/>
    </x:row>
    <x:row r="7">
      <x:c r="A7" s="28" t="str">
        <x:v>General</x:v>
      </x:c>
      <x:c r="B7" s="28" t="str">
        <x:v>Salary on-cost / employment load</x:v>
      </x:c>
      <x:c r="C7" s="28" t="str">
        <x:v>% of base</x:v>
      </x:c>
      <x:c r="D7" s="46" t="n">
        <x:v>0.15</x:v>
      </x:c>
      <x:c r="E7" s="46" t="n">
        <x:v>0.2</x:v>
      </x:c>
      <x:c r="F7" s="46" t="n">
        <x:v>0.25</x:v>
      </x:c>
      <x:c r="G7" s="28" t="str">
        <x:v>S09</x:v>
      </x:c>
      <x:c r="H7" s="28" t="str">
        <x:v>Model assumption</x:v>
      </x:c>
      <x:c r="I7" s="28" t="str">
        <x:v>Covers employer KiwiSaver, ACC, leave, recruitment, training and employment overhead; avoid double-counting where a loaded rate is used.</x:v>
      </x:c>
      <x:c r="J7" s="339"/>
      <x:c r="K7" s="339"/>
      <x:c r="L7" s="339"/>
      <x:c r="M7" s="339"/>
      <x:c r="N7" s="339"/>
      <x:c r="O7" s="339"/>
      <x:c r="P7" s="339"/>
      <x:c r="Q7" s="339"/>
      <x:c r="R7" s="339"/>
      <x:c r="S7" s="339"/>
      <x:c r="T7" s="339"/>
      <x:c r="U7" s="1195"/>
      <x:c r="V7" s="1195"/>
      <x:c r="W7" s="1195"/>
      <x:c r="X7" s="1195"/>
      <x:c r="Y7" s="339"/>
      <x:c r="Z7" s="339"/>
    </x:row>
    <x:row r="8">
      <x:c r="A8" s="28" t="str">
        <x:v>General</x:v>
      </x:c>
      <x:c r="B8" s="28" t="str">
        <x:v>Annual cost escalation</x:v>
      </x:c>
      <x:c r="C8" s="28" t="str">
        <x:v>%</x:v>
      </x:c>
      <x:c r="D8" s="46" t="n">
        <x:v>0.02</x:v>
      </x:c>
      <x:c r="E8" s="46" t="n">
        <x:v>0.025</x:v>
      </x:c>
      <x:c r="F8" s="46" t="n">
        <x:v>0.04</x:v>
      </x:c>
      <x:c r="G8" s="28" t="str">
        <x:v>S06</x:v>
      </x:c>
      <x:c r="H8" s="28" t="str">
        <x:v>Scenario assumption</x:v>
      </x:c>
      <x:c r="I8" s="28" t="str">
        <x:v>Nominal planning escalation; a final business case should separate real growth from inflation.</x:v>
      </x:c>
      <x:c r="J8" s="339"/>
      <x:c r="K8" s="339"/>
      <x:c r="L8" s="339"/>
      <x:c r="M8" s="339"/>
      <x:c r="N8" s="339"/>
      <x:c r="O8" s="339"/>
      <x:c r="P8" s="339"/>
      <x:c r="Q8" s="339"/>
      <x:c r="R8" s="339"/>
      <x:c r="S8" s="339"/>
      <x:c r="T8" s="339"/>
      <x:c r="U8" s="1194"/>
      <x:c r="V8" s="1194"/>
      <x:c r="W8" s="1194"/>
      <x:c r="X8" s="1194"/>
      <x:c r="Y8" s="339"/>
      <x:c r="Z8" s="339"/>
    </x:row>
    <x:row r="9">
      <x:c r="A9" s="28" t="str">
        <x:v>General</x:v>
      </x:c>
      <x:c r="B9" s="28" t="str">
        <x:v>Stage 0 unit-cost multiplier</x:v>
      </x:c>
      <x:c r="C9" s="28" t="str">
        <x:v>x</x:v>
      </x:c>
      <x:c r="D9" s="44" t="n">
        <x:v>0.8</x:v>
      </x:c>
      <x:c r="E9" s="44" t="n">
        <x:v>1</x:v>
      </x:c>
      <x:c r="F9" s="44" t="n">
        <x:v>1.3</x:v>
      </x:c>
      <x:c r="G9" s="28" t="str">
        <x:v>A01</x:v>
      </x:c>
      <x:c r="H9" s="28" t="str">
        <x:v>Scenario assumption</x:v>
      </x:c>
      <x:c r="I9" s="28" t="str">
        <x:v>Applied to central line-item unit costs.</x:v>
      </x:c>
      <x:c r="J9" s="339"/>
      <x:c r="K9" s="339"/>
      <x:c r="L9" s="339"/>
      <x:c r="M9" s="339"/>
      <x:c r="N9" s="339"/>
      <x:c r="O9" s="339"/>
      <x:c r="P9" s="339"/>
      <x:c r="Q9" s="339"/>
      <x:c r="R9" s="339"/>
      <x:c r="S9" s="339"/>
      <x:c r="T9" s="339"/>
      <x:c r="U9" s="1194"/>
      <x:c r="V9" s="1194"/>
      <x:c r="W9" s="1194"/>
      <x:c r="X9" s="1194"/>
      <x:c r="Y9" s="339"/>
      <x:c r="Z9" s="339"/>
    </x:row>
    <x:row r="10">
      <x:c r="A10" s="28" t="str">
        <x:v>General</x:v>
      </x:c>
      <x:c r="B10" s="28" t="str">
        <x:v>Stage 0 contingency</x:v>
      </x:c>
      <x:c r="C10" s="28" t="str">
        <x:v>%</x:v>
      </x:c>
      <x:c r="D10" s="46" t="n">
        <x:v>0.1</x:v>
      </x:c>
      <x:c r="E10" s="46" t="n">
        <x:v>0.125</x:v>
      </x:c>
      <x:c r="F10" s="46" t="n">
        <x:v>0.2</x:v>
      </x:c>
      <x:c r="G10" s="28" t="str">
        <x:v>S07</x:v>
      </x:c>
      <x:c r="H10" s="28" t="str">
        <x:v>Planning allowance</x:v>
      </x:c>
      <x:c r="I10" s="28" t="str">
        <x:v>Contingency is not a substitute for quantified risk analysis.</x:v>
      </x:c>
      <x:c r="J10" s="339"/>
      <x:c r="K10" s="339"/>
      <x:c r="L10" s="339"/>
      <x:c r="M10" s="339"/>
      <x:c r="N10" s="339"/>
      <x:c r="O10" s="339"/>
      <x:c r="P10" s="339"/>
      <x:c r="Q10" s="339"/>
      <x:c r="R10" s="339"/>
      <x:c r="S10" s="339"/>
      <x:c r="T10" s="339"/>
      <x:c r="U10" s="1194"/>
      <x:c r="V10" s="1194"/>
      <x:c r="W10" s="1194"/>
      <x:c r="X10" s="1194"/>
      <x:c r="Y10" s="339"/>
      <x:c r="Z10" s="339"/>
    </x:row>
    <x:row r="11">
      <x:c r="A11" s="28" t="str">
        <x:v>General</x:v>
      </x:c>
      <x:c r="B11" s="28" t="str">
        <x:v>Pilot non-stipend cost multiplier</x:v>
      </x:c>
      <x:c r="C11" s="28" t="str">
        <x:v>x</x:v>
      </x:c>
      <x:c r="D11" s="44" t="n">
        <x:v>0.85</x:v>
      </x:c>
      <x:c r="E11" s="44" t="n">
        <x:v>1</x:v>
      </x:c>
      <x:c r="F11" s="44" t="n">
        <x:v>1.25</x:v>
      </x:c>
      <x:c r="G11" s="28" t="str">
        <x:v>A01</x:v>
      </x:c>
      <x:c r="H11" s="28" t="str">
        <x:v>Scenario assumption</x:v>
      </x:c>
      <x:c r="I11" s="28" t="str">
        <x:v>Scope held constant; reflects delivery and procurement uncertainty.</x:v>
      </x:c>
      <x:c r="J11" s="339"/>
      <x:c r="K11" s="339"/>
      <x:c r="L11" s="339"/>
      <x:c r="M11" s="339"/>
      <x:c r="N11" s="339"/>
      <x:c r="O11" s="339"/>
      <x:c r="P11" s="339"/>
      <x:c r="Q11" s="339"/>
      <x:c r="R11" s="339"/>
      <x:c r="S11" s="339"/>
      <x:c r="T11" s="339"/>
      <x:c r="U11" s="1194"/>
      <x:c r="V11" s="1194"/>
      <x:c r="W11" s="1194"/>
      <x:c r="X11" s="1194"/>
      <x:c r="Y11" s="339"/>
      <x:c r="Z11" s="339"/>
    </x:row>
    <x:row r="12">
      <x:c r="A12" s="28" t="str">
        <x:v>General</x:v>
      </x:c>
      <x:c r="B12" s="28" t="str">
        <x:v>Pilot contingency on non-stipend costs</x:v>
      </x:c>
      <x:c r="C12" s="28" t="str">
        <x:v>%</x:v>
      </x:c>
      <x:c r="D12" s="46" t="n">
        <x:v>0.1</x:v>
      </x:c>
      <x:c r="E12" s="46" t="n">
        <x:v>0.125</x:v>
      </x:c>
      <x:c r="F12" s="46" t="n">
        <x:v>0.2</x:v>
      </x:c>
      <x:c r="G12" s="28" t="str">
        <x:v>S07</x:v>
      </x:c>
      <x:c r="H12" s="28" t="str">
        <x:v>Planning allowance</x:v>
      </x:c>
      <x:c r="I12" s="28" t="str">
        <x:v>Participant payments are modelled through utilisation rather than contingency.</x:v>
      </x:c>
      <x:c r="J12" s="339"/>
      <x:c r="K12" s="339"/>
      <x:c r="L12" s="339"/>
      <x:c r="M12" s="339"/>
      <x:c r="N12" s="339"/>
      <x:c r="O12" s="339"/>
      <x:c r="P12" s="339"/>
      <x:c r="Q12" s="339"/>
      <x:c r="R12" s="339"/>
      <x:c r="S12" s="339"/>
      <x:c r="T12" s="339"/>
      <x:c r="U12" s="1194"/>
      <x:c r="V12" s="1194"/>
      <x:c r="W12" s="1194"/>
      <x:c r="X12" s="1194"/>
      <x:c r="Y12" s="339"/>
      <x:c r="Z12" s="339"/>
    </x:row>
    <x:row r="13">
      <x:c r="A13" s="28" t="str">
        <x:v>General</x:v>
      </x:c>
      <x:c r="B13" s="28" t="str">
        <x:v>National non-stipend cost multiplier</x:v>
      </x:c>
      <x:c r="C13" s="28" t="str">
        <x:v>x</x:v>
      </x:c>
      <x:c r="D13" s="44" t="n">
        <x:v>0.85</x:v>
      </x:c>
      <x:c r="E13" s="44" t="n">
        <x:v>1</x:v>
      </x:c>
      <x:c r="F13" s="44" t="n">
        <x:v>1.25</x:v>
      </x:c>
      <x:c r="G13" s="28" t="str">
        <x:v>A01</x:v>
      </x:c>
      <x:c r="H13" s="28" t="str">
        <x:v>Scenario assumption</x:v>
      </x:c>
      <x:c r="I13" s="28" t="str">
        <x:v>Applied to staffing, schools, technology, evaluation and assurance.</x:v>
      </x:c>
      <x:c r="J13" s="339"/>
      <x:c r="K13" s="339"/>
      <x:c r="L13" s="339"/>
      <x:c r="M13" s="339"/>
      <x:c r="N13" s="339"/>
      <x:c r="O13" s="339"/>
      <x:c r="P13" s="339"/>
      <x:c r="Q13" s="339"/>
      <x:c r="R13" s="339"/>
      <x:c r="S13" s="339"/>
      <x:c r="T13" s="339"/>
      <x:c r="U13" s="1194"/>
      <x:c r="V13" s="1194"/>
      <x:c r="W13" s="1194"/>
      <x:c r="X13" s="1194"/>
      <x:c r="Y13" s="339"/>
      <x:c r="Z13" s="339"/>
    </x:row>
    <x:row r="14">
      <x:c r="A14" s="28" t="str">
        <x:v>General</x:v>
      </x:c>
      <x:c r="B14" s="28" t="str">
        <x:v>National contingency on non-stipend costs</x:v>
      </x:c>
      <x:c r="C14" s="28" t="str">
        <x:v>%</x:v>
      </x:c>
      <x:c r="D14" s="46" t="n">
        <x:v>0.08</x:v>
      </x:c>
      <x:c r="E14" s="46" t="n">
        <x:v>0.1</x:v>
      </x:c>
      <x:c r="F14" s="46" t="n">
        <x:v>0.15</x:v>
      </x:c>
      <x:c r="G14" s="28" t="str">
        <x:v>S07</x:v>
      </x:c>
      <x:c r="H14" s="28" t="str">
        <x:v>Planning allowance</x:v>
      </x:c>
      <x:c r="I14" s="28" t="str">
        <x:v>Mature run-rate contingency should reduce once contracts and operating data exist.</x:v>
      </x:c>
      <x:c r="J14" s="339"/>
      <x:c r="K14" s="339"/>
      <x:c r="L14" s="339"/>
      <x:c r="M14" s="339"/>
      <x:c r="N14" s="339"/>
      <x:c r="O14" s="339"/>
      <x:c r="P14" s="339"/>
      <x:c r="Q14" s="339"/>
      <x:c r="R14" s="339"/>
      <x:c r="S14" s="339"/>
      <x:c r="T14" s="339"/>
      <x:c r="U14" s="1194"/>
      <x:c r="V14" s="1194"/>
      <x:c r="W14" s="1194"/>
      <x:c r="X14" s="1194"/>
      <x:c r="Y14" s="339"/>
      <x:c r="Z14" s="339"/>
    </x:row>
    <x:row r="15">
      <x:c r="A15" s="28" t="str">
        <x:v>General</x:v>
      </x:c>
      <x:c r="B15" s="28" t="str">
        <x:v>Treasury-aligned non-commercial social discount rate</x:v>
      </x:c>
      <x:c r="C15" s="28" t="str">
        <x:v>%</x:v>
      </x:c>
      <x:c r="D15" s="46" t="n">
        <x:v>0.02</x:v>
      </x:c>
      <x:c r="E15" s="46" t="n">
        <x:v>0.02</x:v>
      </x:c>
      <x:c r="F15" s="46" t="n">
        <x:v>0.02</x:v>
      </x:c>
      <x:c r="G15" s="28" t="str">
        <x:v>S48</x:v>
      </x:c>
      <x:c r="H15" s="28" t="str">
        <x:v>Official — source verification retained</x:v>
      </x:c>
      <x:c r="I15" s="28" t="str">
        <x:v>2% real is the Treasury-aligned rate for non-commercial social proposals. Lead public social-CBA results with this rate, subject to final source verification.</x:v>
      </x:c>
      <x:c r="J15" s="339"/>
      <x:c r="K15" s="339"/>
      <x:c r="L15" s="339"/>
      <x:c r="M15" s="339"/>
      <x:c r="N15" s="339"/>
      <x:c r="O15" s="339"/>
      <x:c r="P15" s="339"/>
      <x:c r="Q15" s="339"/>
      <x:c r="R15" s="339"/>
      <x:c r="S15" s="339"/>
      <x:c r="T15" s="339"/>
      <x:c r="U15" s="1194"/>
      <x:c r="V15" s="1194"/>
      <x:c r="W15" s="1194"/>
      <x:c r="X15" s="1194"/>
      <x:c r="Y15" s="339"/>
      <x:c r="Z15" s="339"/>
    </x:row>
    <x:row r="16">
      <x:c r="A16" s="28" t="str">
        <x:v>General</x:v>
      </x:c>
      <x:c r="B16" s="28" t="str">
        <x:v>High / mandatory sensitivity discount rate</x:v>
      </x:c>
      <x:c r="C16" s="28" t="str">
        <x:v>%</x:v>
      </x:c>
      <x:c r="D16" s="46" t="n">
        <x:v>0.08</x:v>
      </x:c>
      <x:c r="E16" s="46" t="n">
        <x:v>0.08</x:v>
      </x:c>
      <x:c r="F16" s="46" t="n">
        <x:v>0.08</x:v>
      </x:c>
      <x:c r="G16" s="28" t="str">
        <x:v>S48</x:v>
      </x:c>
      <x:c r="H16" s="28" t="str">
        <x:v>Official</x:v>
      </x:c>
      <x:c r="I16" s="28" t="str">
        <x:v>8% real is retained as the high or mandatory sensitivity and is directly used in the Human Capital &amp; Earnings analysis.</x:v>
      </x:c>
      <x:c r="J16" s="339"/>
      <x:c r="K16" s="339"/>
      <x:c r="L16" s="339"/>
      <x:c r="M16" s="339"/>
      <x:c r="N16" s="339"/>
      <x:c r="O16" s="339"/>
      <x:c r="P16" s="339"/>
      <x:c r="Q16" s="339"/>
      <x:c r="R16" s="339"/>
      <x:c r="S16" s="339"/>
      <x:c r="T16" s="339"/>
      <x:c r="U16" s="1194"/>
      <x:c r="V16" s="1194"/>
      <x:c r="W16" s="1194"/>
      <x:c r="X16" s="1194"/>
      <x:c r="Y16" s="339"/>
      <x:c r="Z16" s="339"/>
    </x:row>
    <x:row r="17">
      <x:c r="A17" s="62" t="str">
        <x:v>Pilot</x:v>
      </x:c>
      <x:c r="B17" s="62" t="str">
        <x:v>Treatment students</x:v>
      </x:c>
      <x:c r="C17" s="58" t="str">
        <x:v>students</x:v>
      </x:c>
      <x:c r="D17" s="59" t="n">
        <x:v>4200</x:v>
      </x:c>
      <x:c r="E17" s="59" t="n">
        <x:v>4200</x:v>
      </x:c>
      <x:c r="F17" s="59" t="n">
        <x:v>4200</x:v>
      </x:c>
      <x:c r="G17" s="58" t="str">
        <x:v>S01</x:v>
      </x:c>
      <x:c r="H17" s="58" t="str">
        <x:v>Scope assumption</x:v>
      </x:c>
      <x:c r="I17" s="58" t="str">
        <x:v>Keep fixed across cost scenarios so the range tests cost uncertainty, not a different programme.</x:v>
      </x:c>
      <x:c r="J17" s="339"/>
      <x:c r="K17" s="339"/>
      <x:c r="L17" s="339"/>
      <x:c r="M17" s="339"/>
      <x:c r="N17" s="339"/>
      <x:c r="O17" s="339"/>
      <x:c r="P17" s="339"/>
      <x:c r="Q17" s="339"/>
      <x:c r="R17" s="339"/>
      <x:c r="S17" s="339"/>
      <x:c r="T17" s="339"/>
      <x:c r="U17" s="1194"/>
      <x:c r="V17" s="1194"/>
      <x:c r="W17" s="1194"/>
      <x:c r="X17" s="1194"/>
      <x:c r="Y17" s="339"/>
      <x:c r="Z17" s="339"/>
    </x:row>
    <x:row r="18">
      <x:c r="A18" s="28" t="str">
        <x:v>Pilot</x:v>
      </x:c>
      <x:c r="B18" s="28" t="str">
        <x:v>Comparison students</x:v>
      </x:c>
      <x:c r="C18" s="28" t="str">
        <x:v>students</x:v>
      </x:c>
      <x:c r="D18" s="52" t="n">
        <x:v>4200</x:v>
      </x:c>
      <x:c r="E18" s="52" t="n">
        <x:v>4200</x:v>
      </x:c>
      <x:c r="F18" s="52" t="n">
        <x:v>4200</x:v>
      </x:c>
      <x:c r="G18" s="28" t="str">
        <x:v>S01</x:v>
      </x:c>
      <x:c r="H18" s="28" t="str">
        <x:v>Scope assumption</x:v>
      </x:c>
      <x:c r="I18" s="28" t="str">
        <x:v>Must be confirmed: the proposal is ambiguous whether 4,000–4,200 means treatment only or the entire trial sample.</x:v>
      </x:c>
      <x:c r="J18" s="339"/>
      <x:c r="K18" s="339"/>
      <x:c r="L18" s="339"/>
      <x:c r="M18" s="339"/>
      <x:c r="N18" s="339"/>
      <x:c r="O18" s="339"/>
      <x:c r="P18" s="339"/>
      <x:c r="Q18" s="339"/>
      <x:c r="R18" s="339"/>
      <x:c r="S18" s="339"/>
      <x:c r="T18" s="339"/>
      <x:c r="U18" s="1194"/>
      <x:c r="V18" s="1194"/>
      <x:c r="W18" s="1194"/>
      <x:c r="X18" s="1194"/>
      <x:c r="Y18" s="339"/>
      <x:c r="Z18" s="339"/>
    </x:row>
    <x:row r="19">
      <x:c r="A19" s="28" t="str">
        <x:v>Pilot</x:v>
      </x:c>
      <x:c r="B19" s="28" t="str">
        <x:v>Treatment schools</x:v>
      </x:c>
      <x:c r="C19" s="28" t="str">
        <x:v>schools</x:v>
      </x:c>
      <x:c r="D19" s="52" t="n">
        <x:v>8</x:v>
      </x:c>
      <x:c r="E19" s="52" t="n">
        <x:v>8</x:v>
      </x:c>
      <x:c r="F19" s="52" t="n">
        <x:v>8</x:v>
      </x:c>
      <x:c r="G19" s="28" t="str">
        <x:v>S01</x:v>
      </x:c>
      <x:c r="H19" s="28" t="str">
        <x:v>Scope assumption</x:v>
      </x:c>
      <x:c r="I19" s="28" t="str">
        <x:v>At least two regions; exact school count requires power analysis and implementation testing.</x:v>
      </x:c>
      <x:c r="J19" s="339"/>
      <x:c r="K19" s="339"/>
      <x:c r="L19" s="339"/>
      <x:c r="M19" s="339"/>
      <x:c r="N19" s="339"/>
      <x:c r="O19" s="339"/>
      <x:c r="P19" s="339"/>
      <x:c r="Q19" s="339"/>
      <x:c r="R19" s="339"/>
      <x:c r="S19" s="339"/>
      <x:c r="T19" s="339"/>
      <x:c r="U19" s="1194"/>
      <x:c r="V19" s="1194"/>
      <x:c r="W19" s="1194"/>
      <x:c r="X19" s="1194"/>
      <x:c r="Y19" s="339"/>
      <x:c r="Z19" s="339"/>
    </x:row>
    <x:row r="20">
      <x:c r="A20" s="28" t="str">
        <x:v>Pilot</x:v>
      </x:c>
      <x:c r="B20" s="28" t="str">
        <x:v>Comparison schools</x:v>
      </x:c>
      <x:c r="C20" s="28" t="str">
        <x:v>schools</x:v>
      </x:c>
      <x:c r="D20" s="52" t="n">
        <x:v>8</x:v>
      </x:c>
      <x:c r="E20" s="52" t="n">
        <x:v>8</x:v>
      </x:c>
      <x:c r="F20" s="52" t="n">
        <x:v>8</x:v>
      </x:c>
      <x:c r="G20" s="28" t="str">
        <x:v>S01</x:v>
      </x:c>
      <x:c r="H20" s="28" t="str">
        <x:v>Scope assumption</x:v>
      </x:c>
      <x:c r="I20" s="28" t="str">
        <x:v>Comparison schools still impose data, consent and evaluation costs.</x:v>
      </x:c>
      <x:c r="J20" s="339"/>
      <x:c r="K20" s="339"/>
      <x:c r="L20" s="339"/>
      <x:c r="M20" s="339"/>
      <x:c r="N20" s="339"/>
      <x:c r="O20" s="339"/>
      <x:c r="P20" s="339"/>
      <x:c r="Q20" s="339"/>
      <x:c r="R20" s="339"/>
      <x:c r="S20" s="339"/>
      <x:c r="T20" s="339"/>
      <x:c r="U20" s="1194"/>
      <x:c r="V20" s="1194"/>
      <x:c r="W20" s="1194"/>
      <x:c r="X20" s="1194"/>
      <x:c r="Y20" s="339"/>
      <x:c r="Z20" s="339"/>
    </x:row>
    <x:row r="21">
      <x:c r="A21" s="28" t="str">
        <x:v>Pilot</x:v>
      </x:c>
      <x:c r="B21" s="28" t="str">
        <x:v>Pilot earning weeks per year</x:v>
      </x:c>
      <x:c r="C21" s="28" t="str">
        <x:v>weeks</x:v>
      </x:c>
      <x:c r="D21" s="42" t="n">
        <x:v>38</x:v>
      </x:c>
      <x:c r="E21" s="42" t="n">
        <x:v>40</x:v>
      </x:c>
      <x:c r="F21" s="42" t="n">
        <x:v>42</x:v>
      </x:c>
      <x:c r="G21" s="28" t="str">
        <x:v>A06</x:v>
      </x:c>
      <x:c r="H21" s="28" t="str">
        <x:v>Material assumption</x:v>
      </x:c>
      <x:c r="I21" s="28" t="str">
        <x:v>School calendar and payment rules must be specified.</x:v>
      </x:c>
      <x:c r="J21" s="339"/>
      <x:c r="K21" s="339"/>
      <x:c r="L21" s="339"/>
      <x:c r="M21" s="339"/>
      <x:c r="N21" s="339"/>
      <x:c r="O21" s="339"/>
      <x:c r="P21" s="339"/>
      <x:c r="Q21" s="339"/>
      <x:c r="R21" s="339"/>
      <x:c r="S21" s="339"/>
      <x:c r="T21" s="339"/>
      <x:c r="U21" s="1194"/>
      <x:c r="V21" s="1194"/>
      <x:c r="W21" s="1194"/>
      <x:c r="X21" s="1194"/>
      <x:c r="Y21" s="339"/>
      <x:c r="Z21" s="339"/>
    </x:row>
    <x:row r="22">
      <x:c r="A22" s="28" t="str">
        <x:v>Pilot</x:v>
      </x:c>
      <x:c r="B22" s="28" t="str">
        <x:v>Pilot maximum weekly stipend</x:v>
      </x:c>
      <x:c r="C22" s="28" t="str">
        <x:v>NZD/student/week</x:v>
      </x:c>
      <x:c r="D22" s="48" t="n">
        <x:v>125</x:v>
      </x:c>
      <x:c r="E22" s="48" t="n">
        <x:v>150</x:v>
      </x:c>
      <x:c r="F22" s="48" t="n">
        <x:v>150</x:v>
      </x:c>
      <x:c r="G22" s="28" t="str">
        <x:v>S01</x:v>
      </x:c>
      <x:c r="H22" s="28" t="str">
        <x:v>Policy assumption</x:v>
      </x:c>
      <x:c r="I22" s="28" t="str">
        <x:v>Maximum, not expected average.</x:v>
      </x:c>
      <x:c r="J22" s="339"/>
      <x:c r="K22" s="339"/>
      <x:c r="L22" s="339"/>
      <x:c r="M22" s="339"/>
      <x:c r="N22" s="339"/>
      <x:c r="O22" s="339"/>
      <x:c r="P22" s="339"/>
      <x:c r="Q22" s="339"/>
      <x:c r="R22" s="339"/>
      <x:c r="S22" s="339"/>
      <x:c r="T22" s="339"/>
      <x:c r="U22" s="1194"/>
      <x:c r="V22" s="1194"/>
      <x:c r="W22" s="1194"/>
      <x:c r="X22" s="1194"/>
      <x:c r="Y22" s="339"/>
      <x:c r="Z22" s="339"/>
    </x:row>
    <x:row r="23">
      <x:c r="A23" s="28" t="str">
        <x:v>Pilot</x:v>
      </x:c>
      <x:c r="B23" s="28" t="str">
        <x:v>Average earned proportion — Year 1</x:v>
      </x:c>
      <x:c r="C23" s="28" t="str">
        <x:v>%</x:v>
      </x:c>
      <x:c r="D23" s="54" t="n">
        <x:v>0.45</x:v>
      </x:c>
      <x:c r="E23" s="54" t="n">
        <x:v>0.55</x:v>
      </x:c>
      <x:c r="F23" s="54" t="n">
        <x:v>0.7</x:v>
      </x:c>
      <x:c r="G23" s="28" t="str">
        <x:v>A06</x:v>
      </x:c>
      <x:c r="H23" s="28" t="str">
        <x:v>High uncertainty</x:v>
      </x:c>
      <x:c r="I23" s="28" t="str">
        <x:v>Major cost driver; no delivery data yet.</x:v>
      </x:c>
      <x:c r="J23" s="339"/>
      <x:c r="K23" s="339"/>
      <x:c r="L23" s="339"/>
      <x:c r="M23" s="339"/>
      <x:c r="N23" s="339"/>
      <x:c r="O23" s="339"/>
      <x:c r="P23" s="339"/>
      <x:c r="Q23" s="339"/>
      <x:c r="R23" s="339"/>
      <x:c r="S23" s="339"/>
      <x:c r="T23" s="339"/>
      <x:c r="U23" s="1194"/>
      <x:c r="V23" s="1194"/>
      <x:c r="W23" s="1194"/>
      <x:c r="X23" s="1194"/>
      <x:c r="Y23" s="339"/>
      <x:c r="Z23" s="339"/>
    </x:row>
    <x:row r="24">
      <x:c r="A24" s="28" t="str">
        <x:v>Pilot</x:v>
      </x:c>
      <x:c r="B24" s="28" t="str">
        <x:v>Average earned proportion — Year 2</x:v>
      </x:c>
      <x:c r="C24" s="28" t="str">
        <x:v>%</x:v>
      </x:c>
      <x:c r="D24" s="54" t="n">
        <x:v>0.55</x:v>
      </x:c>
      <x:c r="E24" s="54" t="n">
        <x:v>0.65</x:v>
      </x:c>
      <x:c r="F24" s="54" t="n">
        <x:v>0.8</x:v>
      </x:c>
      <x:c r="G24" s="28" t="str">
        <x:v>A06</x:v>
      </x:c>
      <x:c r="H24" s="28" t="str">
        <x:v>High uncertainty</x:v>
      </x:c>
      <x:c r="I24" s="28" t="str">
        <x:v>Assumes engagement and verification improve.</x:v>
      </x:c>
      <x:c r="J24" s="339"/>
      <x:c r="K24" s="339"/>
      <x:c r="L24" s="339"/>
      <x:c r="M24" s="339"/>
      <x:c r="N24" s="339"/>
      <x:c r="O24" s="339"/>
      <x:c r="P24" s="339"/>
      <x:c r="Q24" s="339"/>
      <x:c r="R24" s="339"/>
      <x:c r="S24" s="339"/>
      <x:c r="T24" s="339"/>
      <x:c r="U24" s="1194"/>
      <x:c r="V24" s="1194"/>
      <x:c r="W24" s="1194"/>
      <x:c r="X24" s="1194"/>
      <x:c r="Y24" s="339"/>
      <x:c r="Z24" s="339"/>
    </x:row>
    <x:row r="25">
      <x:c r="A25" s="28" t="str">
        <x:v>Pilot</x:v>
      </x:c>
      <x:c r="B25" s="28" t="str">
        <x:v>Average earned proportion — Year 3</x:v>
      </x:c>
      <x:c r="C25" s="28" t="str">
        <x:v>%</x:v>
      </x:c>
      <x:c r="D25" s="54" t="n">
        <x:v>0.6</x:v>
      </x:c>
      <x:c r="E25" s="54" t="n">
        <x:v>0.7</x:v>
      </x:c>
      <x:c r="F25" s="54" t="n">
        <x:v>0.85</x:v>
      </x:c>
      <x:c r="G25" s="28" t="str">
        <x:v>A06</x:v>
      </x:c>
      <x:c r="H25" s="28" t="str">
        <x:v>High uncertainty</x:v>
      </x:c>
      <x:c r="I25" s="28" t="str">
        <x:v>Must be stress-tested for gaming and work displacement.</x:v>
      </x:c>
      <x:c r="J25" s="339"/>
      <x:c r="K25" s="339"/>
      <x:c r="L25" s="339"/>
      <x:c r="M25" s="339"/>
      <x:c r="N25" s="339"/>
      <x:c r="O25" s="339"/>
      <x:c r="P25" s="339"/>
      <x:c r="Q25" s="339"/>
      <x:c r="R25" s="339"/>
      <x:c r="S25" s="339"/>
      <x:c r="T25" s="339"/>
      <x:c r="U25" s="1194"/>
      <x:c r="V25" s="1194"/>
      <x:c r="W25" s="1194"/>
      <x:c r="X25" s="1194"/>
      <x:c r="Y25" s="339"/>
      <x:c r="Z25" s="339"/>
    </x:row>
    <x:row r="26">
      <x:c r="A26" s="28" t="str">
        <x:v>Pilot</x:v>
      </x:c>
      <x:c r="B26" s="28" t="str">
        <x:v>Immediate-access share of participation payment</x:v>
      </x:c>
      <x:c r="C26" s="28" t="str">
        <x:v>%</x:v>
      </x:c>
      <x:c r="D26" s="46" t="n">
        <x:v>0.5</x:v>
      </x:c>
      <x:c r="E26" s="46" t="n">
        <x:v>0.5</x:v>
      </x:c>
      <x:c r="F26" s="46" t="n">
        <x:v>0.5</x:v>
      </x:c>
      <x:c r="G26" s="28" t="str">
        <x:v>S01</x:v>
      </x:c>
      <x:c r="H26" s="28" t="str">
        <x:v>Policy assumption</x:v>
      </x:c>
      <x:c r="I26" s="28" t="str">
        <x:v>The remaining share is deposited into the He Ara Angitū Learning Capital Account. Both portions remain programme expenditure.</x:v>
      </x:c>
      <x:c r="J26" s="339"/>
      <x:c r="K26" s="339"/>
      <x:c r="L26" s="339"/>
      <x:c r="M26" s="339"/>
      <x:c r="N26" s="339"/>
      <x:c r="O26" s="339"/>
      <x:c r="P26" s="339"/>
      <x:c r="Q26" s="339"/>
      <x:c r="R26" s="339"/>
      <x:c r="S26" s="339"/>
      <x:c r="T26" s="339"/>
      <x:c r="U26" s="1194"/>
      <x:c r="V26" s="1194"/>
      <x:c r="W26" s="1194"/>
      <x:c r="X26" s="1194"/>
      <x:c r="Y26" s="339"/>
      <x:c r="Z26" s="339"/>
    </x:row>
    <x:row r="27">
      <x:c r="A27" s="28" t="str">
        <x:v>Pilot</x:v>
      </x:c>
      <x:c r="B27" s="28" t="str">
        <x:v>Pilot students per school coordinator</x:v>
      </x:c>
      <x:c r="C27" s="28" t="str">
        <x:v>students/FTE</x:v>
      </x:c>
      <x:c r="D27" s="40" t="n">
        <x:v>650</x:v>
      </x:c>
      <x:c r="E27" s="40" t="n">
        <x:v>500</x:v>
      </x:c>
      <x:c r="F27" s="40" t="n">
        <x:v>400</x:v>
      </x:c>
      <x:c r="G27" s="28" t="str">
        <x:v>S01</x:v>
      </x:c>
      <x:c r="H27" s="28" t="str">
        <x:v>Workload test required</x:v>
      </x:c>
      <x:c r="I27" s="28" t="str">
        <x:v>Central case gives about 8.4 FTE, budgeted as 9 FTE in detailed costing.</x:v>
      </x:c>
      <x:c r="J27" s="339"/>
      <x:c r="K27" s="339"/>
      <x:c r="L27" s="339"/>
      <x:c r="M27" s="339"/>
      <x:c r="N27" s="339"/>
      <x:c r="O27" s="339"/>
      <x:c r="P27" s="339"/>
      <x:c r="Q27" s="339"/>
      <x:c r="R27" s="339"/>
      <x:c r="S27" s="339"/>
      <x:c r="T27" s="339"/>
      <x:c r="U27" s="1194"/>
      <x:c r="V27" s="1194"/>
      <x:c r="W27" s="1194"/>
      <x:c r="X27" s="1194"/>
      <x:c r="Y27" s="339"/>
      <x:c r="Z27" s="339"/>
    </x:row>
    <x:row r="28">
      <x:c r="A28" s="28" t="str">
        <x:v>Pilot</x:v>
      </x:c>
      <x:c r="B28" s="28" t="str">
        <x:v>Pilot loaded school coordinator cost</x:v>
      </x:c>
      <x:c r="C28" s="28" t="str">
        <x:v>NZD/FTE/year</x:v>
      </x:c>
      <x:c r="D28" s="48" t="n">
        <x:v>105000</x:v>
      </x:c>
      <x:c r="E28" s="48" t="n">
        <x:v>115000</x:v>
      </x:c>
      <x:c r="F28" s="48" t="n">
        <x:v>130000</x:v>
      </x:c>
      <x:c r="G28" s="28" t="str">
        <x:v>S09;S11</x:v>
      </x:c>
      <x:c r="H28" s="28" t="str">
        <x:v>Benchmark</x:v>
      </x:c>
      <x:c r="I28" s="28" t="str">
        <x:v>Includes employment load and operating support.</x:v>
      </x:c>
      <x:c r="J28" s="339"/>
      <x:c r="K28" s="339"/>
      <x:c r="L28" s="339"/>
      <x:c r="M28" s="339"/>
      <x:c r="N28" s="339"/>
      <x:c r="O28" s="339"/>
      <x:c r="P28" s="339"/>
      <x:c r="Q28" s="339"/>
      <x:c r="R28" s="339"/>
      <x:c r="S28" s="339"/>
      <x:c r="T28" s="339"/>
      <x:c r="U28" s="1194"/>
      <x:c r="V28" s="1194"/>
      <x:c r="W28" s="1194"/>
      <x:c r="X28" s="1194"/>
      <x:c r="Y28" s="339"/>
      <x:c r="Z28" s="339"/>
    </x:row>
    <x:row r="29">
      <x:c r="A29" s="28" t="str">
        <x:v>Pilot</x:v>
      </x:c>
      <x:c r="B29" s="28" t="str">
        <x:v>Baseline sustained-NEET risk in pilot cohort</x:v>
      </x:c>
      <x:c r="C29" s="28" t="str">
        <x:v>%</x:v>
      </x:c>
      <x:c r="D29" s="54" t="n">
        <x:v>0.2</x:v>
      </x:c>
      <x:c r="E29" s="54" t="n">
        <x:v>0.25</x:v>
      </x:c>
      <x:c r="F29" s="54" t="n">
        <x:v>0.3</x:v>
      </x:c>
      <x:c r="G29" s="28" t="str">
        <x:v>S01;S02</x:v>
      </x:c>
      <x:c r="H29" s="28" t="str">
        <x:v>Illustrative only</x:v>
      </x:c>
      <x:c r="I29" s="28" t="str">
        <x:v>Not the national point-in-time NEET rate. Must be estimated using linked data and agreed definitions.</x:v>
      </x:c>
      <x:c r="J29" s="339"/>
      <x:c r="K29" s="339"/>
      <x:c r="L29" s="339"/>
      <x:c r="M29" s="339"/>
      <x:c r="N29" s="339"/>
      <x:c r="O29" s="339"/>
      <x:c r="P29" s="339"/>
      <x:c r="Q29" s="339"/>
      <x:c r="R29" s="339"/>
      <x:c r="S29" s="339"/>
      <x:c r="T29" s="339"/>
      <x:c r="U29" s="1194"/>
      <x:c r="V29" s="1194"/>
      <x:c r="W29" s="1194"/>
      <x:c r="X29" s="1194"/>
      <x:c r="Y29" s="339"/>
      <x:c r="Z29" s="339"/>
    </x:row>
    <x:row r="30">
      <x:c r="A30" s="28" t="str">
        <x:v>Pilot</x:v>
      </x:c>
      <x:c r="B30" s="28" t="str">
        <x:v>Pilot relative reduction in sustained-NEET risk</x:v>
      </x:c>
      <x:c r="C30" s="28" t="str">
        <x:v>%</x:v>
      </x:c>
      <x:c r="D30" s="46" t="n">
        <x:v>0.1</x:v>
      </x:c>
      <x:c r="E30" s="46" t="n">
        <x:v>0.25</x:v>
      </x:c>
      <x:c r="F30" s="46" t="n">
        <x:v>0.4</x:v>
      </x:c>
      <x:c r="G30" s="28" t="str"/>
      <x:c r="H30" s="28" t="str">
        <x:v>Scenario only</x:v>
      </x:c>
      <x:c r="I30" s="28" t="str">
        <x:v>An outcome to be tested, not a forecast.</x:v>
      </x:c>
      <x:c r="J30" s="339"/>
      <x:c r="K30" s="339"/>
      <x:c r="L30" s="339"/>
      <x:c r="M30" s="339"/>
      <x:c r="N30" s="339"/>
      <x:c r="O30" s="339"/>
      <x:c r="P30" s="339"/>
      <x:c r="Q30" s="339"/>
      <x:c r="R30" s="339"/>
      <x:c r="S30" s="339"/>
      <x:c r="T30" s="339"/>
      <x:c r="U30" s="1194"/>
      <x:c r="V30" s="1194"/>
      <x:c r="W30" s="1194"/>
      <x:c r="X30" s="1194"/>
      <x:c r="Y30" s="339"/>
      <x:c r="Z30" s="339"/>
    </x:row>
    <x:row r="31">
      <x:c r="A31" s="28" t="str">
        <x:v>Pilot</x:v>
      </x:c>
      <x:c r="B31" s="28" t="str">
        <x:v>Pilot persistence / attribution factor</x:v>
      </x:c>
      <x:c r="C31" s="28" t="str">
        <x:v>%</x:v>
      </x:c>
      <x:c r="D31" s="46" t="n">
        <x:v>0.4</x:v>
      </x:c>
      <x:c r="E31" s="46" t="n">
        <x:v>0.6</x:v>
      </x:c>
      <x:c r="F31" s="46" t="n">
        <x:v>0.75</x:v>
      </x:c>
      <x:c r="G31" s="28" t="str">
        <x:v>S04;S05</x:v>
      </x:c>
      <x:c r="H31" s="28" t="str">
        <x:v>Scenario only</x:v>
      </x:c>
      <x:c r="I31" s="28" t="str">
        <x:v>Haircut for fade-out, counterfactual uncertainty and attribution.</x:v>
      </x:c>
      <x:c r="J31" s="339"/>
      <x:c r="K31" s="339"/>
      <x:c r="L31" s="339"/>
      <x:c r="M31" s="339"/>
      <x:c r="N31" s="339"/>
      <x:c r="O31" s="339"/>
      <x:c r="P31" s="339"/>
      <x:c r="Q31" s="339"/>
      <x:c r="R31" s="339"/>
      <x:c r="S31" s="339"/>
      <x:c r="T31" s="339"/>
      <x:c r="U31" s="1194"/>
      <x:c r="V31" s="1194"/>
      <x:c r="W31" s="1194"/>
      <x:c r="X31" s="1194"/>
      <x:c r="Y31" s="339"/>
      <x:c r="Z31" s="339"/>
    </x:row>
    <x:row r="32">
      <x:c r="A32" s="62" t="str">
        <x:v>National</x:v>
      </x:c>
      <x:c r="B32" s="62" t="str">
        <x:v>Eligible secondary-student stock</x:v>
      </x:c>
      <x:c r="C32" s="58" t="str">
        <x:v>students</x:v>
      </x:c>
      <x:c r="D32" s="59" t="n">
        <x:v>311743</x:v>
      </x:c>
      <x:c r="E32" s="59" t="n">
        <x:v>311743</x:v>
      </x:c>
      <x:c r="F32" s="59" t="n">
        <x:v>311743</x:v>
      </x:c>
      <x:c r="G32" s="58" t="str">
        <x:v>S08;A07</x:v>
      </x:c>
      <x:c r="H32" s="58" t="str">
        <x:v>Proxy — replace</x:v>
      </x:c>
      <x:c r="I32" s="58" t="str">
        <x:v>2025 secondary subtotal. It includes some Year 7–8 students and excludes secondary-age students in composite schools.</x:v>
      </x:c>
      <x:c r="J32" s="339"/>
      <x:c r="K32" s="339"/>
      <x:c r="L32" s="339"/>
      <x:c r="M32" s="339"/>
      <x:c r="N32" s="339"/>
      <x:c r="O32" s="339"/>
      <x:c r="P32" s="339"/>
      <x:c r="Q32" s="339"/>
      <x:c r="R32" s="339"/>
      <x:c r="S32" s="339"/>
      <x:c r="T32" s="339"/>
      <x:c r="U32" s="1194"/>
      <x:c r="V32" s="1194"/>
      <x:c r="W32" s="1194"/>
      <x:c r="X32" s="1194"/>
      <x:c r="Y32" s="339"/>
      <x:c r="Z32" s="339"/>
    </x:row>
    <x:row r="33">
      <x:c r="A33" s="28" t="str">
        <x:v>National</x:v>
      </x:c>
      <x:c r="B33" s="28" t="str">
        <x:v>Programme years per student</x:v>
      </x:c>
      <x:c r="C33" s="28" t="str">
        <x:v>years</x:v>
      </x:c>
      <x:c r="D33" s="52" t="n">
        <x:v>5</x:v>
      </x:c>
      <x:c r="E33" s="52" t="n">
        <x:v>5</x:v>
      </x:c>
      <x:c r="F33" s="52" t="n">
        <x:v>5</x:v>
      </x:c>
      <x:c r="G33" s="28" t="str">
        <x:v>S01</x:v>
      </x:c>
      <x:c r="H33" s="28" t="str">
        <x:v>Scope assumption</x:v>
      </x:c>
      <x:c r="I33" s="28" t="str">
        <x:v>Converts the student stock into an annual entrant/exit cohort and prevents fivefold benefit double counting.</x:v>
      </x:c>
      <x:c r="J33" s="339"/>
      <x:c r="K33" s="339"/>
      <x:c r="L33" s="339"/>
      <x:c r="M33" s="339"/>
      <x:c r="N33" s="339"/>
      <x:c r="O33" s="339"/>
      <x:c r="P33" s="339"/>
      <x:c r="Q33" s="339"/>
      <x:c r="R33" s="339"/>
      <x:c r="S33" s="339"/>
      <x:c r="T33" s="339"/>
      <x:c r="U33" s="1194"/>
      <x:c r="V33" s="1194"/>
      <x:c r="W33" s="1194"/>
      <x:c r="X33" s="1194"/>
      <x:c r="Y33" s="339"/>
      <x:c r="Z33" s="339"/>
    </x:row>
    <x:row r="34">
      <x:c r="A34" s="28" t="str">
        <x:v>National</x:v>
      </x:c>
      <x:c r="B34" s="28" t="str">
        <x:v>Eligible schools at full rollout</x:v>
      </x:c>
      <x:c r="C34" s="28" t="str">
        <x:v>schools</x:v>
      </x:c>
      <x:c r="D34" s="52" t="n">
        <x:v>500</x:v>
      </x:c>
      <x:c r="E34" s="52" t="n">
        <x:v>500</x:v>
      </x:c>
      <x:c r="F34" s="52" t="n">
        <x:v>500</x:v>
      </x:c>
      <x:c r="G34" s="28" t="str">
        <x:v>A07</x:v>
      </x:c>
      <x:c r="H34" s="28" t="str">
        <x:v>Proxy — replace</x:v>
      </x:c>
      <x:c r="I34" s="28" t="str">
        <x:v>Exact count depends on school types, kura, composite schools and participation model.</x:v>
      </x:c>
      <x:c r="J34" s="339"/>
      <x:c r="K34" s="339"/>
      <x:c r="L34" s="339"/>
      <x:c r="M34" s="339"/>
      <x:c r="N34" s="339"/>
      <x:c r="O34" s="339"/>
      <x:c r="P34" s="339"/>
      <x:c r="Q34" s="339"/>
      <x:c r="R34" s="339"/>
      <x:c r="S34" s="339"/>
      <x:c r="T34" s="339"/>
      <x:c r="U34" s="1194"/>
      <x:c r="V34" s="1194"/>
      <x:c r="W34" s="1194"/>
      <x:c r="X34" s="1194"/>
      <x:c r="Y34" s="339"/>
      <x:c r="Z34" s="339"/>
    </x:row>
    <x:row r="35">
      <x:c r="A35" s="28" t="str">
        <x:v>National</x:v>
      </x:c>
      <x:c r="B35" s="28" t="str">
        <x:v>National earning weeks per year</x:v>
      </x:c>
      <x:c r="C35" s="28" t="str">
        <x:v>weeks</x:v>
      </x:c>
      <x:c r="D35" s="52" t="n">
        <x:v>38</x:v>
      </x:c>
      <x:c r="E35" s="52" t="n">
        <x:v>40</x:v>
      </x:c>
      <x:c r="F35" s="52" t="n">
        <x:v>42</x:v>
      </x:c>
      <x:c r="G35" s="28" t="str">
        <x:v>A06</x:v>
      </x:c>
      <x:c r="H35" s="28" t="str">
        <x:v>Material assumption</x:v>
      </x:c>
      <x:c r="I35" s="28" t="str">
        <x:v>National operating rule.</x:v>
      </x:c>
      <x:c r="J35" s="339"/>
      <x:c r="K35" s="339"/>
      <x:c r="L35" s="339"/>
      <x:c r="M35" s="339"/>
      <x:c r="N35" s="339"/>
      <x:c r="O35" s="339"/>
      <x:c r="P35" s="339"/>
      <x:c r="Q35" s="339"/>
      <x:c r="R35" s="339"/>
      <x:c r="S35" s="339"/>
      <x:c r="T35" s="339"/>
      <x:c r="U35" s="1194"/>
      <x:c r="V35" s="1194"/>
      <x:c r="W35" s="1194"/>
      <x:c r="X35" s="1194"/>
      <x:c r="Y35" s="339"/>
      <x:c r="Z35" s="339"/>
    </x:row>
    <x:row r="36">
      <x:c r="A36" s="28" t="str">
        <x:v>National</x:v>
      </x:c>
      <x:c r="B36" s="28" t="str">
        <x:v>National maximum weekly stipend</x:v>
      </x:c>
      <x:c r="C36" s="28" t="str">
        <x:v>NZD/student/week</x:v>
      </x:c>
      <x:c r="D36" s="48" t="n">
        <x:v>125</x:v>
      </x:c>
      <x:c r="E36" s="48" t="n">
        <x:v>150</x:v>
      </x:c>
      <x:c r="F36" s="48" t="n">
        <x:v>150</x:v>
      </x:c>
      <x:c r="G36" s="28" t="str">
        <x:v>S01</x:v>
      </x:c>
      <x:c r="H36" s="28" t="str">
        <x:v>Policy assumption</x:v>
      </x:c>
      <x:c r="I36" s="28" t="str">
        <x:v>Maximum, not expected average.</x:v>
      </x:c>
      <x:c r="J36" s="339"/>
      <x:c r="K36" s="339"/>
      <x:c r="L36" s="339"/>
      <x:c r="M36" s="339"/>
      <x:c r="N36" s="339"/>
      <x:c r="O36" s="339"/>
      <x:c r="P36" s="339"/>
      <x:c r="Q36" s="339"/>
      <x:c r="R36" s="339"/>
      <x:c r="S36" s="339"/>
      <x:c r="T36" s="339"/>
      <x:c r="U36" s="1194"/>
      <x:c r="V36" s="1194"/>
      <x:c r="W36" s="1194"/>
      <x:c r="X36" s="1194"/>
      <x:c r="Y36" s="339"/>
      <x:c r="Z36" s="339"/>
    </x:row>
    <x:row r="37">
      <x:c r="A37" s="28" t="str">
        <x:v>National</x:v>
      </x:c>
      <x:c r="B37" s="28" t="str">
        <x:v>National average earned proportion</x:v>
      </x:c>
      <x:c r="C37" s="28" t="str">
        <x:v>%</x:v>
      </x:c>
      <x:c r="D37" s="54" t="n">
        <x:v>0.5</x:v>
      </x:c>
      <x:c r="E37" s="54" t="n">
        <x:v>0.65</x:v>
      </x:c>
      <x:c r="F37" s="54" t="n">
        <x:v>0.8</x:v>
      </x:c>
      <x:c r="G37" s="28" t="str">
        <x:v>A06</x:v>
      </x:c>
      <x:c r="H37" s="28" t="str">
        <x:v>High uncertainty</x:v>
      </x:c>
      <x:c r="I37" s="28" t="str">
        <x:v>Largest national cost driver.</x:v>
      </x:c>
      <x:c r="J37" s="339"/>
      <x:c r="K37" s="339"/>
      <x:c r="L37" s="339"/>
      <x:c r="M37" s="339"/>
      <x:c r="N37" s="339"/>
      <x:c r="O37" s="339"/>
      <x:c r="P37" s="339"/>
      <x:c r="Q37" s="339"/>
      <x:c r="R37" s="339"/>
      <x:c r="S37" s="339"/>
      <x:c r="T37" s="339"/>
      <x:c r="U37" s="1194"/>
      <x:c r="V37" s="1194"/>
      <x:c r="W37" s="1194"/>
      <x:c r="X37" s="1194"/>
      <x:c r="Y37" s="339"/>
      <x:c r="Z37" s="339"/>
    </x:row>
    <x:row r="38">
      <x:c r="A38" s="28" t="str">
        <x:v>National</x:v>
      </x:c>
      <x:c r="B38" s="28" t="str">
        <x:v>National students per school coordinator</x:v>
      </x:c>
      <x:c r="C38" s="28" t="str">
        <x:v>students/FTE</x:v>
      </x:c>
      <x:c r="D38" s="56" t="n">
        <x:v>700</x:v>
      </x:c>
      <x:c r="E38" s="56" t="n">
        <x:v>600</x:v>
      </x:c>
      <x:c r="F38" s="56" t="n">
        <x:v>500</x:v>
      </x:c>
      <x:c r="G38" s="28" t="str">
        <x:v>S01</x:v>
      </x:c>
      <x:c r="H38" s="28" t="str">
        <x:v>Workload test required</x:v>
      </x:c>
      <x:c r="I38" s="28" t="str">
        <x:v>Scale efficiencies may reduce the ratio, but high-need schools may require more staff.</x:v>
      </x:c>
      <x:c r="J38" s="339"/>
      <x:c r="K38" s="339"/>
      <x:c r="L38" s="339"/>
      <x:c r="M38" s="339"/>
      <x:c r="N38" s="339"/>
      <x:c r="O38" s="339"/>
      <x:c r="P38" s="339"/>
      <x:c r="Q38" s="339"/>
      <x:c r="R38" s="339"/>
      <x:c r="S38" s="339"/>
      <x:c r="T38" s="339"/>
      <x:c r="U38" s="1194"/>
      <x:c r="V38" s="1194"/>
      <x:c r="W38" s="1194"/>
      <x:c r="X38" s="1194"/>
      <x:c r="Y38" s="339"/>
      <x:c r="Z38" s="339"/>
    </x:row>
    <x:row r="39">
      <x:c r="A39" s="28" t="str">
        <x:v>National</x:v>
      </x:c>
      <x:c r="B39" s="28" t="str">
        <x:v>National loaded school coordinator cost</x:v>
      </x:c>
      <x:c r="C39" s="28" t="str">
        <x:v>NZD/FTE/year</x:v>
      </x:c>
      <x:c r="D39" s="48" t="n">
        <x:v>105000</x:v>
      </x:c>
      <x:c r="E39" s="48" t="n">
        <x:v>115000</x:v>
      </x:c>
      <x:c r="F39" s="48" t="n">
        <x:v>130000</x:v>
      </x:c>
      <x:c r="G39" s="28" t="str">
        <x:v>S09;S11</x:v>
      </x:c>
      <x:c r="H39" s="28" t="str">
        <x:v>Benchmark</x:v>
      </x:c>
      <x:c r="I39" s="28" t="str">
        <x:v>Annual loaded employment cost.</x:v>
      </x:c>
      <x:c r="J39" s="339"/>
      <x:c r="K39" s="339"/>
      <x:c r="L39" s="339"/>
      <x:c r="M39" s="339"/>
      <x:c r="N39" s="339"/>
      <x:c r="O39" s="339"/>
      <x:c r="P39" s="339"/>
      <x:c r="Q39" s="339"/>
      <x:c r="R39" s="339"/>
      <x:c r="S39" s="339"/>
      <x:c r="T39" s="339"/>
      <x:c r="U39" s="1194"/>
      <x:c r="V39" s="1194"/>
      <x:c r="W39" s="1194"/>
      <x:c r="X39" s="1194"/>
      <x:c r="Y39" s="339"/>
      <x:c r="Z39" s="339"/>
    </x:row>
    <x:row r="40">
      <x:c r="A40" s="28" t="str">
        <x:v>National</x:v>
      </x:c>
      <x:c r="B40" s="28" t="str">
        <x:v>Baseline sustained-NEET risk per annual cohort</x:v>
      </x:c>
      <x:c r="C40" s="28" t="str">
        <x:v>%</x:v>
      </x:c>
      <x:c r="D40" s="54" t="n">
        <x:v>0.1</x:v>
      </x:c>
      <x:c r="E40" s="54" t="n">
        <x:v>0.15</x:v>
      </x:c>
      <x:c r="F40" s="54" t="n">
        <x:v>0.2</x:v>
      </x:c>
      <x:c r="G40" s="28" t="str">
        <x:v>S02</x:v>
      </x:c>
      <x:c r="H40" s="28" t="str">
        <x:v>Illustrative only</x:v>
      </x:c>
      <x:c r="I40" s="28" t="str">
        <x:v>Must not be confused with the 15–24 point-in-time NEET rate.</x:v>
      </x:c>
      <x:c r="J40" s="339"/>
      <x:c r="K40" s="339"/>
      <x:c r="L40" s="339"/>
      <x:c r="M40" s="339"/>
      <x:c r="N40" s="339"/>
      <x:c r="O40" s="339"/>
      <x:c r="P40" s="339"/>
      <x:c r="Q40" s="339"/>
      <x:c r="R40" s="339"/>
      <x:c r="S40" s="339"/>
      <x:c r="T40" s="339"/>
      <x:c r="U40" s="1194"/>
      <x:c r="V40" s="1194"/>
      <x:c r="W40" s="1194"/>
      <x:c r="X40" s="1194"/>
      <x:c r="Y40" s="339"/>
      <x:c r="Z40" s="339"/>
    </x:row>
    <x:row r="41">
      <x:c r="A41" s="28" t="str">
        <x:v>National</x:v>
      </x:c>
      <x:c r="B41" s="28" t="str">
        <x:v>National relative reduction in sustained-NEET risk</x:v>
      </x:c>
      <x:c r="C41" s="28" t="str">
        <x:v>%</x:v>
      </x:c>
      <x:c r="D41" s="54" t="n">
        <x:v>0.1</x:v>
      </x:c>
      <x:c r="E41" s="54" t="n">
        <x:v>0.25</x:v>
      </x:c>
      <x:c r="F41" s="54" t="n">
        <x:v>0.4</x:v>
      </x:c>
      <x:c r="G41" s="28" t="str"/>
      <x:c r="H41" s="28" t="str">
        <x:v>Scenario only</x:v>
      </x:c>
      <x:c r="I41" s="28" t="str">
        <x:v>A 25% relative reduction means 15% falls to 11.25%, not by 25 percentage points.</x:v>
      </x:c>
      <x:c r="J41" s="339"/>
      <x:c r="K41" s="339"/>
      <x:c r="L41" s="339"/>
      <x:c r="M41" s="339"/>
      <x:c r="N41" s="339"/>
      <x:c r="O41" s="339"/>
      <x:c r="P41" s="339"/>
      <x:c r="Q41" s="339"/>
      <x:c r="R41" s="339"/>
      <x:c r="S41" s="339"/>
      <x:c r="T41" s="339"/>
      <x:c r="U41" s="1194"/>
      <x:c r="V41" s="1194"/>
      <x:c r="W41" s="1194"/>
      <x:c r="X41" s="1194"/>
      <x:c r="Y41" s="339"/>
      <x:c r="Z41" s="339"/>
    </x:row>
    <x:row r="42">
      <x:c r="A42" s="28" t="str">
        <x:v>National</x:v>
      </x:c>
      <x:c r="B42" s="28" t="str">
        <x:v>National persistence / attribution factor</x:v>
      </x:c>
      <x:c r="C42" s="28" t="str">
        <x:v>%</x:v>
      </x:c>
      <x:c r="D42" s="54" t="n">
        <x:v>0.4</x:v>
      </x:c>
      <x:c r="E42" s="54" t="n">
        <x:v>0.6</x:v>
      </x:c>
      <x:c r="F42" s="54" t="n">
        <x:v>0.75</x:v>
      </x:c>
      <x:c r="G42" s="28" t="str">
        <x:v>S04;S05</x:v>
      </x:c>
      <x:c r="H42" s="28" t="str">
        <x:v>Scenario only</x:v>
      </x:c>
      <x:c r="I42" s="28" t="str">
        <x:v>Reduces modelled cases to those plausibly sustained and attributable.</x:v>
      </x:c>
      <x:c r="J42" s="339"/>
      <x:c r="K42" s="339"/>
      <x:c r="L42" s="339"/>
      <x:c r="M42" s="339"/>
      <x:c r="N42" s="339"/>
      <x:c r="O42" s="339"/>
      <x:c r="P42" s="339"/>
      <x:c r="Q42" s="339"/>
      <x:c r="R42" s="339"/>
      <x:c r="S42" s="339"/>
      <x:c r="T42" s="339"/>
      <x:c r="U42" s="1194"/>
      <x:c r="V42" s="1194"/>
      <x:c r="W42" s="1194"/>
      <x:c r="X42" s="1194"/>
      <x:c r="Y42" s="339"/>
      <x:c r="Z42" s="339"/>
    </x:row>
    <x:row r="43">
      <x:c r="A43" s="28" t="str">
        <x:v>National</x:v>
      </x:c>
      <x:c r="B43" s="28" t="str">
        <x:v>Benefit realisation / overlap haircut</x:v>
      </x:c>
      <x:c r="C43" s="28" t="str">
        <x:v>%</x:v>
      </x:c>
      <x:c r="D43" s="54" t="n">
        <x:v>0.6</x:v>
      </x:c>
      <x:c r="E43" s="54" t="n">
        <x:v>0.75</x:v>
      </x:c>
      <x:c r="F43" s="54" t="n">
        <x:v>0.85</x:v>
      </x:c>
      <x:c r="G43" s="28" t="str">
        <x:v>S04;S05</x:v>
      </x:c>
      <x:c r="H43" s="28" t="str">
        <x:v>Scenario only</x:v>
      </x:c>
      <x:c r="I43" s="28" t="str">
        <x:v>Applied to prevent full-value claims where evidence and overlap remain uncertain.</x:v>
      </x:c>
      <x:c r="J43" s="339"/>
      <x:c r="K43" s="339"/>
      <x:c r="L43" s="339"/>
      <x:c r="M43" s="339"/>
      <x:c r="N43" s="339"/>
      <x:c r="O43" s="339"/>
      <x:c r="P43" s="339"/>
      <x:c r="Q43" s="339"/>
      <x:c r="R43" s="339"/>
      <x:c r="S43" s="339"/>
      <x:c r="T43" s="339"/>
      <x:c r="U43" s="1194"/>
      <x:c r="V43" s="1194"/>
      <x:c r="W43" s="1194"/>
      <x:c r="X43" s="1194"/>
      <x:c r="Y43" s="339"/>
      <x:c r="Z43" s="339"/>
    </x:row>
    <x:row r="44">
      <x:c r="A44" s="62" t="str">
        <x:v>Pacheco &amp; Dye</x:v>
      </x:c>
      <x:c r="B44" s="62" t="str">
        <x:v>Short-term productivity loss per NEET case (2012 NZD)</x:v>
      </x:c>
      <x:c r="C44" s="58" t="str">
        <x:v>NZD/case</x:v>
      </x:c>
      <x:c r="D44" s="64" t="n">
        <x:v>15414</x:v>
      </x:c>
      <x:c r="E44" s="64" t="n">
        <x:v>15414</x:v>
      </x:c>
      <x:c r="F44" s="64" t="n">
        <x:v>15414</x:v>
      </x:c>
      <x:c r="G44" s="58" t="str">
        <x:v>S02</x:v>
      </x:c>
      <x:c r="H44" s="58" t="str">
        <x:v>Published estimate</x:v>
      </x:c>
      <x:c r="I44" s="58" t="str">
        <x:v>Foregone wages/productivity over the next 1–3 years.</x:v>
      </x:c>
      <x:c r="J44" s="339"/>
      <x:c r="K44" s="339"/>
      <x:c r="L44" s="339"/>
      <x:c r="M44" s="339"/>
      <x:c r="N44" s="339"/>
      <x:c r="O44" s="339"/>
      <x:c r="P44" s="339"/>
      <x:c r="Q44" s="339"/>
      <x:c r="R44" s="339"/>
      <x:c r="S44" s="339"/>
      <x:c r="T44" s="339"/>
      <x:c r="U44" s="1194"/>
      <x:c r="V44" s="1194"/>
      <x:c r="W44" s="1194"/>
      <x:c r="X44" s="1194"/>
      <x:c r="Y44" s="339"/>
      <x:c r="Z44" s="339"/>
    </x:row>
    <x:row r="45">
      <x:c r="A45" s="28" t="str">
        <x:v>Pacheco &amp; Dye</x:v>
      </x:c>
      <x:c r="B45" s="28" t="str">
        <x:v>Short-term public-finance cost per NEET case (2012 NZD)</x:v>
      </x:c>
      <x:c r="C45" s="28" t="str">
        <x:v>NZD/case</x:v>
      </x:c>
      <x:c r="D45" s="48" t="n">
        <x:v>11433</x:v>
      </x:c>
      <x:c r="E45" s="48" t="n">
        <x:v>11433</x:v>
      </x:c>
      <x:c r="F45" s="48" t="n">
        <x:v>11433</x:v>
      </x:c>
      <x:c r="G45" s="28" t="str">
        <x:v>S02</x:v>
      </x:c>
      <x:c r="H45" s="28" t="str">
        <x:v>Published estimate</x:v>
      </x:c>
      <x:c r="I45" s="28" t="str">
        <x:v>Public-finance component over the next 1–3 years.</x:v>
      </x:c>
      <x:c r="J45" s="339"/>
      <x:c r="K45" s="339"/>
      <x:c r="L45" s="339"/>
      <x:c r="M45" s="339"/>
      <x:c r="N45" s="339"/>
      <x:c r="O45" s="339"/>
      <x:c r="P45" s="339"/>
      <x:c r="Q45" s="339"/>
      <x:c r="R45" s="339"/>
      <x:c r="S45" s="339"/>
      <x:c r="T45" s="339"/>
      <x:c r="U45" s="1194"/>
      <x:c r="V45" s="1194"/>
      <x:c r="W45" s="1194"/>
      <x:c r="X45" s="1194"/>
      <x:c r="Y45" s="339"/>
      <x:c r="Z45" s="339"/>
    </x:row>
    <x:row r="46">
      <x:c r="A46" s="28" t="str">
        <x:v>Pacheco &amp; Dye</x:v>
      </x:c>
      <x:c r="B46" s="28" t="str">
        <x:v>Short-term total cost per NEET case (2012 NZD)</x:v>
      </x:c>
      <x:c r="C46" s="28" t="str">
        <x:v>NZD/case</x:v>
      </x:c>
      <x:c r="D46" s="48" t="n">
        <x:v>26847</x:v>
      </x:c>
      <x:c r="E46" s="48" t="n">
        <x:v>26847</x:v>
      </x:c>
      <x:c r="F46" s="48" t="n">
        <x:v>26847</x:v>
      </x:c>
      <x:c r="G46" s="28" t="str">
        <x:v>S02</x:v>
      </x:c>
      <x:c r="H46" s="28" t="str">
        <x:v>Published estimate</x:v>
      </x:c>
      <x:c r="I46" s="28" t="str">
        <x:v>Productivity plus public-finance cost.</x:v>
      </x:c>
      <x:c r="J46" s="339"/>
      <x:c r="K46" s="339"/>
      <x:c r="L46" s="339"/>
      <x:c r="M46" s="339"/>
      <x:c r="N46" s="339"/>
      <x:c r="O46" s="339"/>
      <x:c r="P46" s="339"/>
      <x:c r="Q46" s="339"/>
      <x:c r="R46" s="339"/>
      <x:c r="S46" s="339"/>
      <x:c r="T46" s="339"/>
      <x:c r="U46" s="1194"/>
      <x:c r="V46" s="1194"/>
      <x:c r="W46" s="1194"/>
      <x:c r="X46" s="1194"/>
      <x:c r="Y46" s="339"/>
      <x:c r="Z46" s="339"/>
    </x:row>
    <x:row r="47">
      <x:c r="A47" s="28" t="str">
        <x:v>Pacheco &amp; Dye</x:v>
      </x:c>
      <x:c r="B47" s="28" t="str">
        <x:v>Illustrative lifetime multiplier</x:v>
      </x:c>
      <x:c r="C47" s="28" t="str">
        <x:v>x</x:v>
      </x:c>
      <x:c r="D47" s="50" t="n">
        <x:v>9.6</x:v>
      </x:c>
      <x:c r="E47" s="50" t="n">
        <x:v>9.6</x:v>
      </x:c>
      <x:c r="F47" s="50" t="n">
        <x:v>9.6</x:v>
      </x:c>
      <x:c r="G47" s="28" t="str">
        <x:v>S02</x:v>
      </x:c>
      <x:c r="H47" s="28" t="str">
        <x:v>Low confidence</x:v>
      </x:c>
      <x:c r="I47" s="28" t="str">
        <x:v>Borrowed from a UK study; Pacheco &amp; Dye explicitly called for a New Zealand-specific multiplier.</x:v>
      </x:c>
      <x:c r="J47" s="339"/>
      <x:c r="K47" s="339"/>
      <x:c r="L47" s="339"/>
      <x:c r="M47" s="339"/>
      <x:c r="N47" s="339"/>
      <x:c r="O47" s="339"/>
      <x:c r="P47" s="339"/>
      <x:c r="Q47" s="339"/>
      <x:c r="R47" s="339"/>
      <x:c r="S47" s="339"/>
      <x:c r="T47" s="339"/>
      <x:c r="U47" s="1194"/>
      <x:c r="V47" s="1194"/>
      <x:c r="W47" s="1194"/>
      <x:c r="X47" s="1194"/>
      <x:c r="Y47" s="339"/>
      <x:c r="Z47" s="339"/>
    </x:row>
    <x:row r="48">
      <x:c r="A48" s="62" t="str">
        <x:v>CBAx optional</x:v>
      </x:c>
      <x:c r="B48" s="62" t="str">
        <x:v>Jobseeker Support — single 20–24 (current value)</x:v>
      </x:c>
      <x:c r="C48" s="58" t="str">
        <x:v>NZD/person/year</x:v>
      </x:c>
      <x:c r="D48" s="64" t="n">
        <x:v>17167</x:v>
      </x:c>
      <x:c r="E48" s="64" t="n">
        <x:v>17167</x:v>
      </x:c>
      <x:c r="F48" s="64" t="n">
        <x:v>17167</x:v>
      </x:c>
      <x:c r="G48" s="58" t="str">
        <x:v>S21</x:v>
      </x:c>
      <x:c r="H48" s="58" t="str">
        <x:v>Official CBAx value</x:v>
      </x:c>
      <x:c r="I48" s="58" t="str">
        <x:v>Excluded from headline benefits because Pacheco public-finance costs already capture related welfare/tax effects.</x:v>
      </x:c>
      <x:c r="J48" s="339"/>
      <x:c r="K48" s="339"/>
      <x:c r="L48" s="339"/>
      <x:c r="M48" s="339"/>
      <x:c r="N48" s="339"/>
      <x:c r="O48" s="339"/>
      <x:c r="P48" s="339"/>
      <x:c r="Q48" s="339"/>
      <x:c r="R48" s="339"/>
      <x:c r="S48" s="339"/>
      <x:c r="T48" s="339"/>
      <x:c r="U48" s="1194"/>
      <x:c r="V48" s="1194"/>
      <x:c r="W48" s="1194"/>
      <x:c r="X48" s="1194"/>
      <x:c r="Y48" s="339"/>
      <x:c r="Z48" s="339"/>
    </x:row>
    <x:row r="49">
      <x:c r="A49" s="28" t="str">
        <x:v>CBAx optional</x:v>
      </x:c>
      <x:c r="B49" s="28" t="str">
        <x:v>Marginal tax/ACC value: no qualification to upper-secondary</x:v>
      </x:c>
      <x:c r="C49" s="28" t="str">
        <x:v>NZD/person/year</x:v>
      </x:c>
      <x:c r="D49" s="48" t="n">
        <x:v>123</x:v>
      </x:c>
      <x:c r="E49" s="48" t="n">
        <x:v>123</x:v>
      </x:c>
      <x:c r="F49" s="48" t="n">
        <x:v>123</x:v>
      </x:c>
      <x:c r="G49" s="28" t="str">
        <x:v>S21</x:v>
      </x:c>
      <x:c r="H49" s="28" t="str">
        <x:v>Official CBAx value</x:v>
      </x:c>
      <x:c r="I49" s="28" t="str">
        <x:v>Excluded from headline benefits; small and potentially overlapping.</x:v>
      </x:c>
      <x:c r="J49" s="339"/>
      <x:c r="K49" s="339"/>
      <x:c r="L49" s="339"/>
      <x:c r="M49" s="339"/>
      <x:c r="N49" s="339"/>
      <x:c r="O49" s="339"/>
      <x:c r="P49" s="339"/>
      <x:c r="Q49" s="339"/>
      <x:c r="R49" s="339"/>
      <x:c r="S49" s="339"/>
      <x:c r="T49" s="339"/>
      <x:c r="U49" s="1194"/>
      <x:c r="V49" s="1194"/>
      <x:c r="W49" s="1194"/>
      <x:c r="X49" s="1194"/>
      <x:c r="Y49" s="339"/>
      <x:c r="Z49" s="339"/>
    </x:row>
    <x:row r="50">
      <x:c r="A50" s="28" t="str">
        <x:v>CBAx optional</x:v>
      </x:c>
      <x:c r="B50" s="28" t="str">
        <x:v>Marginal cost of sentenced inmate</x:v>
      </x:c>
      <x:c r="C50" s="28" t="str">
        <x:v>NZD/person/year</x:v>
      </x:c>
      <x:c r="D50" s="48" t="n">
        <x:v>211350</x:v>
      </x:c>
      <x:c r="E50" s="48" t="n">
        <x:v>211350</x:v>
      </x:c>
      <x:c r="F50" s="48" t="n">
        <x:v>211350</x:v>
      </x:c>
      <x:c r="G50" s="28" t="str">
        <x:v>S21</x:v>
      </x:c>
      <x:c r="H50" s="28" t="str">
        <x:v>Official CBAx value</x:v>
      </x:c>
      <x:c r="I50" s="28" t="str">
        <x:v>Excluded from headline benefits; requires credible causal change in custody and overlap controls.</x:v>
      </x:c>
      <x:c r="J50" s="339"/>
      <x:c r="K50" s="339"/>
      <x:c r="L50" s="339"/>
      <x:c r="M50" s="339"/>
      <x:c r="N50" s="339"/>
      <x:c r="O50" s="339"/>
      <x:c r="P50" s="339"/>
      <x:c r="Q50" s="339"/>
      <x:c r="R50" s="339"/>
      <x:c r="S50" s="339"/>
      <x:c r="T50" s="339"/>
      <x:c r="U50" s="1194"/>
      <x:c r="V50" s="1194"/>
      <x:c r="W50" s="1194"/>
      <x:c r="X50" s="1194"/>
      <x:c r="Y50" s="339"/>
      <x:c r="Z50" s="339"/>
    </x:row>
    <x:row r="51">
      <x:c r="A51" s="28" t="str">
        <x:v>CBAx optional</x:v>
      </x:c>
      <x:c r="B51" s="28" t="str">
        <x:v>Low-risk youth diversion response</x:v>
      </x:c>
      <x:c r="C51" s="28" t="str">
        <x:v>NZD/incident</x:v>
      </x:c>
      <x:c r="D51" s="48" t="n">
        <x:v>4638</x:v>
      </x:c>
      <x:c r="E51" s="48" t="n">
        <x:v>4638</x:v>
      </x:c>
      <x:c r="F51" s="48" t="n">
        <x:v>4638</x:v>
      </x:c>
      <x:c r="G51" s="28" t="str">
        <x:v>S21</x:v>
      </x:c>
      <x:c r="H51" s="28" t="str">
        <x:v>Official CBAx value</x:v>
      </x:c>
      <x:c r="I51" s="28" t="str">
        <x:v>Excluded from headline benefits; causal incidence not established.</x:v>
      </x:c>
      <x:c r="J51" s="339"/>
      <x:c r="K51" s="339"/>
      <x:c r="L51" s="339"/>
      <x:c r="M51" s="339"/>
      <x:c r="N51" s="339"/>
      <x:c r="O51" s="339"/>
      <x:c r="P51" s="339"/>
      <x:c r="Q51" s="339"/>
      <x:c r="R51" s="339"/>
      <x:c r="S51" s="339"/>
      <x:c r="T51" s="339"/>
      <x:c r="U51" s="1194"/>
      <x:c r="V51" s="1194"/>
      <x:c r="W51" s="1194"/>
      <x:c r="X51" s="1194"/>
      <x:c r="Y51" s="339"/>
      <x:c r="Z51" s="339"/>
    </x:row>
    <x:row r="52">
      <x:c r="A52" s="28" t="str">
        <x:v>CBAx optional</x:v>
      </x:c>
      <x:c r="B52" s="28" t="str">
        <x:v>Cost per hour of police time</x:v>
      </x:c>
      <x:c r="C52" s="28" t="str">
        <x:v>NZD/hour</x:v>
      </x:c>
      <x:c r="D52" s="48" t="n">
        <x:v>152</x:v>
      </x:c>
      <x:c r="E52" s="48" t="n">
        <x:v>152</x:v>
      </x:c>
      <x:c r="F52" s="48" t="n">
        <x:v>152</x:v>
      </x:c>
      <x:c r="G52" s="28" t="str">
        <x:v>S21</x:v>
      </x:c>
      <x:c r="H52" s="28" t="str">
        <x:v>Official CBAx value</x:v>
      </x:c>
      <x:c r="I52" s="28" t="str">
        <x:v>Excluded from headline benefits.</x:v>
      </x:c>
      <x:c r="J52" s="339"/>
      <x:c r="K52" s="339"/>
      <x:c r="L52" s="339"/>
      <x:c r="M52" s="339"/>
      <x:c r="N52" s="339"/>
      <x:c r="O52" s="339"/>
      <x:c r="P52" s="339"/>
      <x:c r="Q52" s="339"/>
      <x:c r="R52" s="339"/>
      <x:c r="S52" s="339"/>
      <x:c r="T52" s="339"/>
      <x:c r="U52" s="1194"/>
      <x:c r="V52" s="1194"/>
      <x:c r="W52" s="1194"/>
      <x:c r="X52" s="1194"/>
      <x:c r="Y52" s="339"/>
      <x:c r="Z52" s="339"/>
    </x:row>
    <x:row r="53">
      <x:c r="A53" s="1101" t="str">
        <x:v>General</x:v>
      </x:c>
      <x:c r="B53" s="1101" t="str">
        <x:v>Intermediate analytical sensitivity discount rate</x:v>
      </x:c>
      <x:c r="C53" s="1101" t="str">
        <x:v>%</x:v>
      </x:c>
      <x:c r="D53" s="1105" t="n">
        <x:v>0.04</x:v>
      </x:c>
      <x:c r="E53" s="1105" t="n">
        <x:v>0.04</x:v>
      </x:c>
      <x:c r="F53" s="1105" t="n">
        <x:v>0.04</x:v>
      </x:c>
      <x:c r="G53" s="1107" t="str">
        <x:v>S48</x:v>
      </x:c>
      <x:c r="H53" s="1106" t="str">
        <x:v>Analytical sensitivity</x:v>
      </x:c>
      <x:c r="I53" s="1106" t="str">
        <x:v>4% real is retained only as an intermediate analytical sensitivity.</x:v>
      </x:c>
      <x:c r="J53" s="339"/>
      <x:c r="K53" s="339"/>
      <x:c r="L53" s="339"/>
      <x:c r="M53" s="339"/>
      <x:c r="N53" s="339"/>
      <x:c r="O53" s="339"/>
      <x:c r="P53" s="339"/>
      <x:c r="Q53" s="339"/>
      <x:c r="R53" s="339"/>
      <x:c r="S53" s="339"/>
      <x:c r="T53" s="339"/>
      <x:c r="U53" s="1194"/>
      <x:c r="V53" s="1194"/>
      <x:c r="W53" s="1194"/>
      <x:c r="X53" s="1194"/>
      <x:c r="Y53" s="339"/>
      <x:c r="Z53" s="339"/>
    </x:row>
    <x:row r="54">
      <x:c r="A54" s="339"/>
      <x:c r="B54" s="339"/>
      <x:c r="C54" s="339"/>
      <x:c r="D54" s="339"/>
      <x:c r="E54" s="339"/>
      <x:c r="F54" s="339"/>
      <x:c r="G54" s="339"/>
      <x:c r="H54" s="339"/>
      <x:c r="I54" s="339"/>
      <x:c r="J54" s="339"/>
      <x:c r="K54" s="339"/>
      <x:c r="L54" s="339"/>
      <x:c r="M54" s="339"/>
      <x:c r="N54" s="339"/>
      <x:c r="O54" s="339"/>
      <x:c r="P54" s="339"/>
      <x:c r="Q54" s="339"/>
      <x:c r="R54" s="339"/>
      <x:c r="S54" s="339"/>
      <x:c r="T54" s="339"/>
      <x:c r="U54" s="1194"/>
      <x:c r="V54" s="1194"/>
      <x:c r="W54" s="1194"/>
      <x:c r="X54" s="1194"/>
      <x:c r="Y54" s="339"/>
      <x:c r="Z54" s="339"/>
    </x:row>
    <x:row r="55">
      <x:c r="A55" s="498" t="str">
        <x:v>Learning Capital</x:v>
      </x:c>
      <x:c r="B55" s="498" t="str">
        <x:v>Learning Capital Account share</x:v>
      </x:c>
      <x:c r="C55" s="496" t="str">
        <x:v>% of payment</x:v>
      </x:c>
      <x:c r="D55" s="497" t="n">
        <x:v>0.5</x:v>
      </x:c>
      <x:c r="E55" s="497" t="n">
        <x:v>0.5</x:v>
      </x:c>
      <x:c r="F55" s="497" t="n">
        <x:v>0.5</x:v>
      </x:c>
      <x:c r="G55" s="496" t="str">
        <x:v>S01</x:v>
      </x:c>
      <x:c r="H55" s="496" t="str">
        <x:v>Policy specification</x:v>
      </x:c>
      <x:c r="I55" s="496" t="str">
        <x:v>Deposited into a protected, individually attributed account; not unrestricted cash at age 18.</x:v>
      </x:c>
      <x:c r="J55" s="339"/>
      <x:c r="K55" s="339"/>
      <x:c r="L55" s="339"/>
      <x:c r="M55" s="339"/>
      <x:c r="N55" s="339"/>
      <x:c r="O55" s="339"/>
      <x:c r="P55" s="339"/>
      <x:c r="Q55" s="339"/>
      <x:c r="R55" s="339"/>
      <x:c r="S55" s="339"/>
      <x:c r="T55" s="339"/>
      <x:c r="U55" s="1194"/>
      <x:c r="V55" s="1194"/>
      <x:c r="W55" s="1194"/>
      <x:c r="X55" s="1194"/>
      <x:c r="Y55" s="339"/>
      <x:c r="Z55" s="339"/>
    </x:row>
    <x:row r="56">
      <x:c r="A56" s="28" t="str">
        <x:v>Learning Capital</x:v>
      </x:c>
      <x:c r="B56" s="28" t="str">
        <x:v>Contribution years per participant</x:v>
      </x:c>
      <x:c r="C56" s="28" t="str">
        <x:v>years</x:v>
      </x:c>
      <x:c r="D56" s="492" t="n">
        <x:v>5</x:v>
      </x:c>
      <x:c r="E56" s="492" t="n">
        <x:v>5</x:v>
      </x:c>
      <x:c r="F56" s="492" t="n">
        <x:v>5</x:v>
      </x:c>
      <x:c r="G56" s="28" t="str">
        <x:v>S01</x:v>
      </x:c>
      <x:c r="H56" s="28" t="str">
        <x:v>Policy specification</x:v>
      </x:c>
      <x:c r="I56" s="28" t="str">
        <x:v>Central secondary-school participation horizon.</x:v>
      </x:c>
      <x:c r="J56" s="339"/>
      <x:c r="K56" s="339"/>
      <x:c r="L56" s="339"/>
      <x:c r="M56" s="339"/>
      <x:c r="N56" s="339"/>
      <x:c r="O56" s="339"/>
      <x:c r="P56" s="339"/>
      <x:c r="Q56" s="339"/>
      <x:c r="R56" s="339"/>
      <x:c r="S56" s="339"/>
      <x:c r="T56" s="339"/>
      <x:c r="U56" s="1194"/>
      <x:c r="V56" s="1194"/>
      <x:c r="W56" s="1194"/>
      <x:c r="X56" s="1194"/>
      <x:c r="Y56" s="339"/>
      <x:c r="Z56" s="339"/>
    </x:row>
    <x:row r="57">
      <x:c r="A57" s="28" t="str">
        <x:v>Learning Capital</x:v>
      </x:c>
      <x:c r="B57" s="28" t="str">
        <x:v>Gross nominal investment return</x:v>
      </x:c>
      <x:c r="C57" s="28" t="str">
        <x:v>%</x:v>
      </x:c>
      <x:c r="D57" s="493" t="n">
        <x:v>0.027</x:v>
      </x:c>
      <x:c r="E57" s="493" t="n">
        <x:v>0.0525</x:v>
      </x:c>
      <x:c r="F57" s="493" t="n">
        <x:v>0.079</x:v>
      </x:c>
      <x:c r="G57" s="28" t="str">
        <x:v>A08</x:v>
      </x:c>
      <x:c r="H57" s="28" t="str">
        <x:v>Scenario assumption</x:v>
      </x:c>
      <x:c r="I57" s="28" t="str">
        <x:v>Transparent gross-return scenario before investment fees and effective tax drag.</x:v>
      </x:c>
      <x:c r="J57" s="339"/>
      <x:c r="K57" s="339"/>
      <x:c r="L57" s="339"/>
      <x:c r="M57" s="339"/>
      <x:c r="N57" s="339"/>
      <x:c r="O57" s="339"/>
      <x:c r="P57" s="339"/>
      <x:c r="Q57" s="339"/>
      <x:c r="R57" s="339"/>
      <x:c r="S57" s="339"/>
      <x:c r="T57" s="339"/>
      <x:c r="U57" s="1194"/>
      <x:c r="V57" s="1194"/>
      <x:c r="W57" s="1194"/>
      <x:c r="X57" s="1194"/>
      <x:c r="Y57" s="339"/>
      <x:c r="Z57" s="339"/>
    </x:row>
    <x:row r="58">
      <x:c r="A58" s="28" t="str">
        <x:v>Learning Capital</x:v>
      </x:c>
      <x:c r="B58" s="28" t="str">
        <x:v>Investment management and custody fee</x:v>
      </x:c>
      <x:c r="C58" s="28" t="str">
        <x:v>% of AUM</x:v>
      </x:c>
      <x:c r="D58" s="493" t="n">
        <x:v>0.004</x:v>
      </x:c>
      <x:c r="E58" s="493" t="n">
        <x:v>0.005</x:v>
      </x:c>
      <x:c r="F58" s="493" t="n">
        <x:v>0.007</x:v>
      </x:c>
      <x:c r="G58" s="28" t="str">
        <x:v>S29;S30;A09</x:v>
      </x:c>
      <x:c r="H58" s="28" t="str">
        <x:v>Quote required</x:v>
      </x:c>
      <x:c r="I58" s="28" t="str">
        <x:v>Regulated, low-fee, competitively procured provider structure; no provider is endorsed.</x:v>
      </x:c>
      <x:c r="J58" s="339"/>
      <x:c r="K58" s="339"/>
      <x:c r="L58" s="339"/>
      <x:c r="M58" s="339"/>
      <x:c r="N58" s="339"/>
      <x:c r="O58" s="339"/>
      <x:c r="P58" s="339"/>
      <x:c r="Q58" s="339"/>
      <x:c r="R58" s="339"/>
      <x:c r="S58" s="339"/>
      <x:c r="T58" s="339"/>
      <x:c r="U58" s="1194"/>
      <x:c r="V58" s="1194"/>
      <x:c r="W58" s="1194"/>
      <x:c r="X58" s="1194"/>
      <x:c r="Y58" s="339"/>
      <x:c r="Z58" s="339"/>
    </x:row>
    <x:row r="59">
      <x:c r="A59" s="28" t="str">
        <x:v>Learning Capital</x:v>
      </x:c>
      <x:c r="B59" s="28" t="str">
        <x:v>Effective investment tax drag</x:v>
      </x:c>
      <x:c r="C59" s="28" t="str">
        <x:v>% of AUM</x:v>
      </x:c>
      <x:c r="D59" s="493" t="n">
        <x:v>0.003</x:v>
      </x:c>
      <x:c r="E59" s="493" t="n">
        <x:v>0.0075</x:v>
      </x:c>
      <x:c r="F59" s="493" t="n">
        <x:v>0.012</x:v>
      </x:c>
      <x:c r="G59" s="28" t="str">
        <x:v>S28;A10</x:v>
      </x:c>
      <x:c r="H59" s="28" t="str">
        <x:v>Legal/tax advice required</x:v>
      </x:c>
      <x:c r="I59" s="28" t="str">
        <x:v>A modelling drag, not a statutory tax rate; actual treatment depends on legal and beneficial ownership.</x:v>
      </x:c>
      <x:c r="J59" s="339"/>
      <x:c r="K59" s="339"/>
      <x:c r="L59" s="339"/>
      <x:c r="M59" s="339"/>
      <x:c r="N59" s="339"/>
      <x:c r="O59" s="339"/>
      <x:c r="P59" s="339"/>
      <x:c r="Q59" s="339"/>
      <x:c r="R59" s="339"/>
      <x:c r="S59" s="339"/>
      <x:c r="T59" s="339"/>
      <x:c r="U59" s="1194"/>
      <x:c r="V59" s="1194"/>
      <x:c r="W59" s="1194"/>
      <x:c r="X59" s="1194"/>
      <x:c r="Y59" s="339"/>
      <x:c r="Z59" s="339"/>
    </x:row>
    <x:row r="60">
      <x:c r="A60" s="28" t="str">
        <x:v>Learning Capital</x:v>
      </x:c>
      <x:c r="B60" s="28" t="str">
        <x:v>Net nominal investment return</x:v>
      </x:c>
      <x:c r="C60" s="28" t="str">
        <x:v>%</x:v>
      </x:c>
      <x:c r="D60" s="493" t="n">
        <x:v>0.02</x:v>
      </x:c>
      <x:c r="E60" s="493" t="n">
        <x:v>0.04</x:v>
      </x:c>
      <x:c r="F60" s="493" t="n">
        <x:v>0.06</x:v>
      </x:c>
      <x:c r="G60" s="28" t="str">
        <x:v>A08</x:v>
      </x:c>
      <x:c r="H60" s="28" t="str">
        <x:v>Scenario assumption</x:v>
      </x:c>
      <x:c r="I60" s="28" t="str">
        <x:v>Gross return less modelled fees and tax drag. Returns are uncertain and are not guaranteed.</x:v>
      </x:c>
      <x:c r="J60" s="339"/>
      <x:c r="K60" s="339"/>
      <x:c r="L60" s="339"/>
      <x:c r="M60" s="339"/>
      <x:c r="N60" s="339"/>
      <x:c r="O60" s="339"/>
      <x:c r="P60" s="339"/>
      <x:c r="Q60" s="339"/>
      <x:c r="R60" s="339"/>
      <x:c r="S60" s="339"/>
      <x:c r="T60" s="339"/>
      <x:c r="U60" s="1194"/>
      <x:c r="V60" s="1194"/>
      <x:c r="W60" s="1194"/>
      <x:c r="X60" s="1194"/>
      <x:c r="Y60" s="339"/>
      <x:c r="Z60" s="339"/>
    </x:row>
    <x:row r="61">
      <x:c r="A61" s="28" t="str">
        <x:v>Learning Capital</x:v>
      </x:c>
      <x:c r="B61" s="28" t="str">
        <x:v>Lifecycle de-risking reduction — Year 4</x:v>
      </x:c>
      <x:c r="C61" s="28" t="str">
        <x:v>percentage points</x:v>
      </x:c>
      <x:c r="D61" s="493" t="n">
        <x:v>0.0025</x:v>
      </x:c>
      <x:c r="E61" s="493" t="n">
        <x:v>0.005</x:v>
      </x:c>
      <x:c r="F61" s="493" t="n">
        <x:v>0.0075</x:v>
      </x:c>
      <x:c r="G61" s="28" t="str">
        <x:v>A08</x:v>
      </x:c>
      <x:c r="H61" s="28" t="str">
        <x:v>Scenario assumption</x:v>
      </x:c>
      <x:c r="I61" s="28" t="str">
        <x:v>Return assumption is reduced as expected withdrawal approaches.</x:v>
      </x:c>
      <x:c r="J61" s="339"/>
      <x:c r="K61" s="339"/>
      <x:c r="L61" s="339"/>
      <x:c r="M61" s="339"/>
      <x:c r="N61" s="339"/>
      <x:c r="O61" s="339"/>
      <x:c r="P61" s="339"/>
      <x:c r="Q61" s="339"/>
      <x:c r="R61" s="339"/>
      <x:c r="S61" s="339"/>
      <x:c r="T61" s="339"/>
      <x:c r="U61" s="1194"/>
      <x:c r="V61" s="1194"/>
      <x:c r="W61" s="1194"/>
      <x:c r="X61" s="1194"/>
      <x:c r="Y61" s="339"/>
      <x:c r="Z61" s="339"/>
    </x:row>
    <x:row r="62">
      <x:c r="A62" s="28" t="str">
        <x:v>Learning Capital</x:v>
      </x:c>
      <x:c r="B62" s="28" t="str">
        <x:v>Lifecycle de-risking reduction — Year 5</x:v>
      </x:c>
      <x:c r="C62" s="28" t="str">
        <x:v>percentage points</x:v>
      </x:c>
      <x:c r="D62" s="493" t="n">
        <x:v>0.005</x:v>
      </x:c>
      <x:c r="E62" s="493" t="n">
        <x:v>0.01</x:v>
      </x:c>
      <x:c r="F62" s="493" t="n">
        <x:v>0.015</x:v>
      </x:c>
      <x:c r="G62" s="28" t="str">
        <x:v>A08</x:v>
      </x:c>
      <x:c r="H62" s="28" t="str">
        <x:v>Scenario assumption</x:v>
      </x:c>
      <x:c r="I62" s="28" t="str">
        <x:v>Return assumption is reduced further in the final accumulation year.</x:v>
      </x:c>
      <x:c r="J62" s="339"/>
      <x:c r="K62" s="339"/>
      <x:c r="L62" s="339"/>
      <x:c r="M62" s="339"/>
      <x:c r="N62" s="339"/>
      <x:c r="O62" s="339"/>
      <x:c r="P62" s="339"/>
      <x:c r="Q62" s="339"/>
      <x:c r="R62" s="339"/>
      <x:c r="S62" s="339"/>
      <x:c r="T62" s="339"/>
      <x:c r="U62" s="1194"/>
      <x:c r="V62" s="1194"/>
      <x:c r="W62" s="1194"/>
      <x:c r="X62" s="1194"/>
      <x:c r="Y62" s="339"/>
      <x:c r="Z62" s="339"/>
    </x:row>
    <x:row r="63">
      <x:c r="A63" s="28" t="str">
        <x:v>Learning Capital</x:v>
      </x:c>
      <x:c r="B63" s="28" t="str">
        <x:v>Annual account administration cost</x:v>
      </x:c>
      <x:c r="C63" s="28" t="str">
        <x:v>NZD/account/year</x:v>
      </x:c>
      <x:c r="D63" s="494" t="n">
        <x:v>20</x:v>
      </x:c>
      <x:c r="E63" s="494" t="n">
        <x:v>25</x:v>
      </x:c>
      <x:c r="F63" s="494" t="n">
        <x:v>35</x:v>
      </x:c>
      <x:c r="G63" s="28" t="str">
        <x:v>A09;A15</x:v>
      </x:c>
      <x:c r="H63" s="28" t="str">
        <x:v>Quote required</x:v>
      </x:c>
      <x:c r="I63" s="28" t="str">
        <x:v>Crown-funded operational allowance; investment fee drag is modelled separately.</x:v>
      </x:c>
      <x:c r="J63" s="339"/>
      <x:c r="K63" s="339"/>
      <x:c r="L63" s="339"/>
      <x:c r="M63" s="339"/>
      <x:c r="N63" s="339"/>
      <x:c r="O63" s="339"/>
      <x:c r="P63" s="339"/>
      <x:c r="Q63" s="339"/>
      <x:c r="R63" s="339"/>
      <x:c r="S63" s="339"/>
      <x:c r="T63" s="339"/>
      <x:c r="U63" s="1194"/>
      <x:c r="V63" s="1194"/>
      <x:c r="W63" s="1194"/>
      <x:c r="X63" s="1194"/>
      <x:c r="Y63" s="339"/>
      <x:c r="Z63" s="339"/>
    </x:row>
    <x:row r="64">
      <x:c r="A64" s="28" t="str">
        <x:v>Learning Capital</x:v>
      </x:c>
      <x:c r="B64" s="28" t="str">
        <x:v>Relevant education or apprenticeship expense</x:v>
      </x:c>
      <x:c r="C64" s="28" t="str">
        <x:v>NZD/person</x:v>
      </x:c>
      <x:c r="D64" s="494" t="n">
        <x:v>15000</x:v>
      </x:c>
      <x:c r="E64" s="494" t="n">
        <x:v>25000</x:v>
      </x:c>
      <x:c r="F64" s="494" t="n">
        <x:v>35000</x:v>
      </x:c>
      <x:c r="G64" s="28" t="str">
        <x:v>A14</x:v>
      </x:c>
      <x:c r="H64" s="28" t="str">
        <x:v>Scenario assumption</x:v>
      </x:c>
      <x:c r="I64" s="28" t="str">
        <x:v>Approved study, training, occupational licensing, tools, equipment and recognised microcredentials.</x:v>
      </x:c>
      <x:c r="J64" s="339"/>
      <x:c r="K64" s="339"/>
      <x:c r="L64" s="339"/>
      <x:c r="M64" s="339"/>
      <x:c r="N64" s="339"/>
      <x:c r="O64" s="339"/>
      <x:c r="P64" s="339"/>
      <x:c r="Q64" s="339"/>
      <x:c r="R64" s="339"/>
      <x:c r="S64" s="339"/>
      <x:c r="T64" s="339"/>
      <x:c r="U64" s="1194"/>
      <x:c r="V64" s="1194"/>
      <x:c r="W64" s="1194"/>
      <x:c r="X64" s="1194"/>
      <x:c r="Y64" s="339"/>
      <x:c r="Z64" s="339"/>
    </x:row>
    <x:row r="65">
      <x:c r="A65" s="28" t="str">
        <x:v>Learning Capital</x:v>
      </x:c>
      <x:c r="B65" s="28" t="str">
        <x:v>Unused-balance approved-use age limit</x:v>
      </x:c>
      <x:c r="C65" s="28" t="str">
        <x:v>age</x:v>
      </x:c>
      <x:c r="D65" s="495" t="n">
        <x:v>23</x:v>
      </x:c>
      <x:c r="E65" s="495" t="n">
        <x:v>25</x:v>
      </x:c>
      <x:c r="F65" s="495" t="n">
        <x:v>27</x:v>
      </x:c>
      <x:c r="G65" s="28" t="str">
        <x:v>A15</x:v>
      </x:c>
      <x:c r="H65" s="28" t="str">
        <x:v>Policy and legal decision</x:v>
      </x:c>
      <x:c r="I65" s="28" t="str">
        <x:v>Any later transfer to KiwiSaver or another protected asset requires legal and accounting analysis.</x:v>
      </x:c>
      <x:c r="J65" s="339"/>
      <x:c r="K65" s="339"/>
      <x:c r="L65" s="339"/>
      <x:c r="M65" s="339"/>
      <x:c r="N65" s="339"/>
      <x:c r="O65" s="339"/>
      <x:c r="P65" s="339"/>
      <x:c r="Q65" s="339"/>
      <x:c r="R65" s="339"/>
      <x:c r="S65" s="339"/>
      <x:c r="T65" s="339"/>
      <x:c r="U65" s="1194"/>
      <x:c r="V65" s="1194"/>
      <x:c r="W65" s="1194"/>
      <x:c r="X65" s="1194"/>
      <x:c r="Y65" s="339"/>
      <x:c r="Z65" s="339"/>
    </x:row>
    <x:row r="66">
      <x:c r="A66" s="28" t="str">
        <x:v>Learning Capital</x:v>
      </x:c>
      <x:c r="B66" s="28" t="str">
        <x:v>Market-downturn return in final year</x:v>
      </x:c>
      <x:c r="C66" s="28" t="str">
        <x:v>%</x:v>
      </x:c>
      <x:c r="D66" s="493" t="n">
        <x:v>-0.05</x:v>
      </x:c>
      <x:c r="E66" s="493" t="n">
        <x:v>-0.1</x:v>
      </x:c>
      <x:c r="F66" s="493" t="n">
        <x:v>-0.2</x:v>
      </x:c>
      <x:c r="G66" s="28" t="str">
        <x:v>A08</x:v>
      </x:c>
      <x:c r="H66" s="28" t="str">
        <x:v>Sensitivity only</x:v>
      </x:c>
      <x:c r="I66" s="28" t="str">
        <x:v>Illustrates market loss near withdrawal; not included in the central case.</x:v>
      </x:c>
      <x:c r="J66" s="339"/>
      <x:c r="K66" s="339"/>
      <x:c r="L66" s="339"/>
      <x:c r="M66" s="339"/>
      <x:c r="N66" s="339"/>
      <x:c r="O66" s="339"/>
      <x:c r="P66" s="339"/>
      <x:c r="Q66" s="339"/>
      <x:c r="R66" s="339"/>
      <x:c r="S66" s="339"/>
      <x:c r="T66" s="339"/>
      <x:c r="U66" s="1194"/>
      <x:c r="V66" s="1194"/>
      <x:c r="W66" s="1194"/>
      <x:c r="X66" s="1194"/>
      <x:c r="Y66" s="339"/>
      <x:c r="Z66" s="339"/>
    </x:row>
    <x:row r="67">
      <x:c r="A67" s="28" t="str">
        <x:v>Learning Capital</x:v>
      </x:c>
      <x:c r="B67" s="28" t="str">
        <x:v>Apprenticeship completion tranche</x:v>
      </x:c>
      <x:c r="C67" s="28" t="str">
        <x:v>% of apprenticeship balance</x:v>
      </x:c>
      <x:c r="D67" s="493" t="n">
        <x:v>0.1</x:v>
      </x:c>
      <x:c r="E67" s="493" t="n">
        <x:v>0.15</x:v>
      </x:c>
      <x:c r="F67" s="493" t="n">
        <x:v>0.2</x:v>
      </x:c>
      <x:c r="G67" s="28" t="str">
        <x:v>A14</x:v>
      </x:c>
      <x:c r="H67" s="28" t="str">
        <x:v>Scenario assumption</x:v>
      </x:c>
      <x:c r="I67" s="28" t="str">
        <x:v>Remaining releases occur at verified apprenticeship stages.</x:v>
      </x:c>
      <x:c r="J67" s="339"/>
      <x:c r="K67" s="339"/>
      <x:c r="L67" s="339"/>
      <x:c r="M67" s="339"/>
      <x:c r="N67" s="339"/>
      <x:c r="O67" s="339"/>
      <x:c r="P67" s="339"/>
      <x:c r="Q67" s="339"/>
      <x:c r="R67" s="339"/>
      <x:c r="S67" s="339"/>
      <x:c r="T67" s="339"/>
      <x:c r="U67" s="1194"/>
      <x:c r="V67" s="1194"/>
      <x:c r="W67" s="1194"/>
      <x:c r="X67" s="1194"/>
      <x:c r="Y67" s="339"/>
      <x:c r="Z67" s="339"/>
    </x:row>
    <x:row r="68">
      <x:c r="A68" s="498" t="str">
        <x:v>Student Loan</x:v>
      </x:c>
      <x:c r="B68" s="498" t="str">
        <x:v>Audited median student-loan balance</x:v>
      </x:c>
      <x:c r="C68" s="496" t="str">
        <x:v>NZD/borrower</x:v>
      </x:c>
      <x:c r="D68" s="499" t="n">
        <x:v>17557</x:v>
      </x:c>
      <x:c r="E68" s="499" t="n">
        <x:v>17557</x:v>
      </x:c>
      <x:c r="F68" s="499" t="n">
        <x:v>17557</x:v>
      </x:c>
      <x:c r="G68" s="496" t="str">
        <x:v>S24</x:v>
      </x:c>
      <x:c r="H68" s="496" t="str">
        <x:v>Official audited report</x:v>
      </x:c>
      <x:c r="I68" s="496" t="str">
        <x:v>Balance at 30 June 2025; used as the principal debt-displacement comparator.</x:v>
      </x:c>
      <x:c r="J68" s="339"/>
      <x:c r="K68" s="339"/>
      <x:c r="L68" s="339"/>
      <x:c r="M68" s="339"/>
      <x:c r="N68" s="339"/>
      <x:c r="O68" s="339"/>
      <x:c r="P68" s="339"/>
      <x:c r="Q68" s="339"/>
      <x:c r="R68" s="339"/>
      <x:c r="S68" s="339"/>
      <x:c r="T68" s="339"/>
      <x:c r="U68" s="1194"/>
      <x:c r="V68" s="1194"/>
      <x:c r="W68" s="1194"/>
      <x:c r="X68" s="1194"/>
      <x:c r="Y68" s="339"/>
      <x:c r="Z68" s="339"/>
    </x:row>
    <x:row r="69">
      <x:c r="A69" s="28" t="str">
        <x:v>Student Loan</x:v>
      </x:c>
      <x:c r="B69" s="28" t="str">
        <x:v>Quarterly median student-loan balance</x:v>
      </x:c>
      <x:c r="C69" s="28" t="str">
        <x:v>NZD/borrower</x:v>
      </x:c>
      <x:c r="D69" s="48" t="n">
        <x:v>18302</x:v>
      </x:c>
      <x:c r="E69" s="48" t="n">
        <x:v>18302</x:v>
      </x:c>
      <x:c r="F69" s="48" t="n">
        <x:v>18302</x:v>
      </x:c>
      <x:c r="G69" s="28" t="str">
        <x:v>S33</x:v>
      </x:c>
      <x:c r="H69" s="28" t="str">
        <x:v>Official quarterly statistic</x:v>
      </x:c>
      <x:c r="I69" s="28" t="str">
        <x:v>March 2026 context; not substituted for the audited annual-report anchor.</x:v>
      </x:c>
      <x:c r="J69" s="339"/>
      <x:c r="K69" s="339"/>
      <x:c r="L69" s="339"/>
      <x:c r="M69" s="339"/>
      <x:c r="N69" s="339"/>
      <x:c r="O69" s="339"/>
      <x:c r="P69" s="339"/>
      <x:c r="Q69" s="339"/>
      <x:c r="R69" s="339"/>
      <x:c r="S69" s="339"/>
      <x:c r="T69" s="339"/>
      <x:c r="U69" s="1194"/>
      <x:c r="V69" s="1194"/>
      <x:c r="W69" s="1194"/>
      <x:c r="X69" s="1194"/>
      <x:c r="Y69" s="339"/>
      <x:c r="Z69" s="339"/>
    </x:row>
    <x:row r="70">
      <x:c r="A70" s="28" t="str">
        <x:v>Student Loan</x:v>
      </x:c>
      <x:c r="B70" s="28" t="str">
        <x:v>Tertiary-entry probability</x:v>
      </x:c>
      <x:c r="C70" s="28" t="str">
        <x:v>% of participants</x:v>
      </x:c>
      <x:c r="D70" s="493" t="n">
        <x:v>0.45</x:v>
      </x:c>
      <x:c r="E70" s="493" t="n">
        <x:v>0.55</x:v>
      </x:c>
      <x:c r="F70" s="493" t="n">
        <x:v>0.65</x:v>
      </x:c>
      <x:c r="G70" s="28" t="str">
        <x:v>A11</x:v>
      </x:c>
      <x:c r="H70" s="28" t="str">
        <x:v>Unsupported scenario</x:v>
      </x:c>
      <x:c r="I70" s="28" t="str">
        <x:v>Must be estimated for the target cohort using linked data and pilot follow-up.</x:v>
      </x:c>
      <x:c r="J70" s="339"/>
      <x:c r="K70" s="339"/>
      <x:c r="L70" s="339"/>
      <x:c r="M70" s="339"/>
      <x:c r="N70" s="339"/>
      <x:c r="O70" s="339"/>
      <x:c r="P70" s="339"/>
      <x:c r="Q70" s="339"/>
      <x:c r="R70" s="339"/>
      <x:c r="S70" s="339"/>
      <x:c r="T70" s="339"/>
      <x:c r="U70" s="1194"/>
      <x:c r="V70" s="1194"/>
      <x:c r="W70" s="1194"/>
      <x:c r="X70" s="1194"/>
      <x:c r="Y70" s="339"/>
      <x:c r="Z70" s="339"/>
    </x:row>
    <x:row r="71">
      <x:c r="A71" s="28" t="str">
        <x:v>Student Loan</x:v>
      </x:c>
      <x:c r="B71" s="28" t="str">
        <x:v>Apprenticeship-entry probability</x:v>
      </x:c>
      <x:c r="C71" s="28" t="str">
        <x:v>% of participants</x:v>
      </x:c>
      <x:c r="D71" s="493" t="n">
        <x:v>0.08</x:v>
      </x:c>
      <x:c r="E71" s="493" t="n">
        <x:v>0.12</x:v>
      </x:c>
      <x:c r="F71" s="493" t="n">
        <x:v>0.15</x:v>
      </x:c>
      <x:c r="G71" s="28" t="str">
        <x:v>A11</x:v>
      </x:c>
      <x:c r="H71" s="28" t="str">
        <x:v>Unsupported scenario</x:v>
      </x:c>
      <x:c r="I71" s="28" t="str">
        <x:v>Includes workplace-based pathways expected to use approved account withdrawals.</x:v>
      </x:c>
      <x:c r="J71" s="339"/>
      <x:c r="K71" s="339"/>
      <x:c r="L71" s="339"/>
      <x:c r="M71" s="339"/>
      <x:c r="N71" s="339"/>
      <x:c r="O71" s="339"/>
      <x:c r="P71" s="339"/>
      <x:c r="Q71" s="339"/>
      <x:c r="R71" s="339"/>
      <x:c r="S71" s="339"/>
      <x:c r="T71" s="339"/>
      <x:c r="U71" s="1194"/>
      <x:c r="V71" s="1194"/>
      <x:c r="W71" s="1194"/>
      <x:c r="X71" s="1194"/>
      <x:c r="Y71" s="339"/>
      <x:c r="Z71" s="339"/>
    </x:row>
    <x:row r="72">
      <x:c r="A72" s="28" t="str">
        <x:v>Student Loan</x:v>
      </x:c>
      <x:c r="B72" s="28" t="str">
        <x:v>Account utilisation for approved learning</x:v>
      </x:c>
      <x:c r="C72" s="28" t="str">
        <x:v>% of eligible balance</x:v>
      </x:c>
      <x:c r="D72" s="493" t="n">
        <x:v>0.65</x:v>
      </x:c>
      <x:c r="E72" s="493" t="n">
        <x:v>0.8</x:v>
      </x:c>
      <x:c r="F72" s="493" t="n">
        <x:v>0.9</x:v>
      </x:c>
      <x:c r="G72" s="28" t="str">
        <x:v>A13</x:v>
      </x:c>
      <x:c r="H72" s="28" t="str">
        <x:v>Unsupported scenario</x:v>
      </x:c>
      <x:c r="I72" s="28" t="str">
        <x:v>Requires participant behaviour and provider-payment evidence.</x:v>
      </x:c>
      <x:c r="J72" s="339"/>
      <x:c r="K72" s="339"/>
      <x:c r="L72" s="339"/>
      <x:c r="M72" s="339"/>
      <x:c r="N72" s="339"/>
      <x:c r="O72" s="339"/>
      <x:c r="P72" s="339"/>
      <x:c r="Q72" s="339"/>
      <x:c r="R72" s="339"/>
      <x:c r="S72" s="339"/>
      <x:c r="T72" s="339"/>
      <x:c r="U72" s="1194"/>
      <x:c r="V72" s="1194"/>
      <x:c r="W72" s="1194"/>
      <x:c r="X72" s="1194"/>
      <x:c r="Y72" s="339"/>
      <x:c r="Z72" s="339"/>
    </x:row>
    <x:row r="73">
      <x:c r="A73" s="28" t="str">
        <x:v>Student Loan</x:v>
      </x:c>
      <x:c r="B73" s="28" t="str">
        <x:v>Counterfactual student-loan borrowing probability</x:v>
      </x:c>
      <x:c r="C73" s="28" t="str">
        <x:v>% of approved withdrawal</x:v>
      </x:c>
      <x:c r="D73" s="493" t="n">
        <x:v>0.45</x:v>
      </x:c>
      <x:c r="E73" s="493" t="n">
        <x:v>0.6</x:v>
      </x:c>
      <x:c r="F73" s="493" t="n">
        <x:v>0.75</x:v>
      </x:c>
      <x:c r="G73" s="28" t="str">
        <x:v>A12</x:v>
      </x:c>
      <x:c r="H73" s="28" t="str">
        <x:v>Unsupported scenario</x:v>
      </x:c>
      <x:c r="I73" s="28" t="str">
        <x:v>Probability that the expense would otherwise have been financed through the Student Loan Scheme.</x:v>
      </x:c>
      <x:c r="J73" s="339"/>
      <x:c r="K73" s="339"/>
      <x:c r="L73" s="339"/>
      <x:c r="M73" s="339"/>
      <x:c r="N73" s="339"/>
      <x:c r="O73" s="339"/>
      <x:c r="P73" s="339"/>
      <x:c r="Q73" s="339"/>
      <x:c r="R73" s="339"/>
      <x:c r="S73" s="339"/>
      <x:c r="T73" s="339"/>
      <x:c r="U73" s="1194"/>
      <x:c r="V73" s="1194"/>
      <x:c r="W73" s="1194"/>
      <x:c r="X73" s="1194"/>
      <x:c r="Y73" s="339"/>
      <x:c r="Z73" s="339"/>
    </x:row>
    <x:row r="74">
      <x:c r="A74" s="28" t="str">
        <x:v>Student Loan</x:v>
      </x:c>
      <x:c r="B74" s="28" t="str">
        <x:v>Borrowing-displacement factor</x:v>
      </x:c>
      <x:c r="C74" s="28" t="str">
        <x:v>% of counterfactual borrowing</x:v>
      </x:c>
      <x:c r="D74" s="493" t="n">
        <x:v>0.6</x:v>
      </x:c>
      <x:c r="E74" s="493" t="n">
        <x:v>0.8</x:v>
      </x:c>
      <x:c r="F74" s="493" t="n">
        <x:v>0.95</x:v>
      </x:c>
      <x:c r="G74" s="28" t="str">
        <x:v>A12</x:v>
      </x:c>
      <x:c r="H74" s="28" t="str">
        <x:v>Unsupported scenario</x:v>
      </x:c>
      <x:c r="I74" s="28" t="str">
        <x:v>Allows for withdrawals replacing family contributions, savings or additional study rather than borrowing.</x:v>
      </x:c>
      <x:c r="J74" s="339"/>
      <x:c r="K74" s="339"/>
      <x:c r="L74" s="339"/>
      <x:c r="M74" s="339"/>
      <x:c r="N74" s="339"/>
      <x:c r="O74" s="339"/>
      <x:c r="P74" s="339"/>
      <x:c r="Q74" s="339"/>
      <x:c r="R74" s="339"/>
      <x:c r="S74" s="339"/>
      <x:c r="T74" s="339"/>
      <x:c r="U74" s="1194"/>
      <x:c r="V74" s="1194"/>
      <x:c r="W74" s="1194"/>
      <x:c r="X74" s="1194"/>
      <x:c r="Y74" s="339"/>
      <x:c r="Z74" s="339"/>
    </x:row>
    <x:row r="75">
      <x:c r="A75" s="28" t="str">
        <x:v>Student Loan</x:v>
      </x:c>
      <x:c r="B75" s="28" t="str">
        <x:v>Withdrawal replacing family or personal savings</x:v>
      </x:c>
      <x:c r="C75" s="28" t="str">
        <x:v>% of withdrawal</x:v>
      </x:c>
      <x:c r="D75" s="493" t="n">
        <x:v>0.25</x:v>
      </x:c>
      <x:c r="E75" s="493" t="n">
        <x:v>0.15</x:v>
      </x:c>
      <x:c r="F75" s="493" t="n">
        <x:v>0.05</x:v>
      </x:c>
      <x:c r="G75" s="28" t="str">
        <x:v>A12</x:v>
      </x:c>
      <x:c r="H75" s="28" t="str">
        <x:v>Unsupported scenario</x:v>
      </x:c>
      <x:c r="I75" s="28" t="str">
        <x:v>Alternative funding source; not a Crown saving.</x:v>
      </x:c>
      <x:c r="J75" s="339"/>
      <x:c r="K75" s="339"/>
      <x:c r="L75" s="339"/>
      <x:c r="M75" s="339"/>
      <x:c r="N75" s="339"/>
      <x:c r="O75" s="339"/>
      <x:c r="P75" s="339"/>
      <x:c r="Q75" s="339"/>
      <x:c r="R75" s="339"/>
      <x:c r="S75" s="339"/>
      <x:c r="T75" s="339"/>
      <x:c r="U75" s="1194"/>
      <x:c r="V75" s="1194"/>
      <x:c r="W75" s="1194"/>
      <x:c r="X75" s="1194"/>
      <x:c r="Y75" s="339"/>
      <x:c r="Z75" s="339"/>
    </x:row>
    <x:row r="76">
      <x:c r="A76" s="28" t="str">
        <x:v>Student Loan</x:v>
      </x:c>
      <x:c r="B76" s="28" t="str">
        <x:v>Withdrawal enabling additional study</x:v>
      </x:c>
      <x:c r="C76" s="28" t="str">
        <x:v>% of entrants</x:v>
      </x:c>
      <x:c r="D76" s="493" t="n">
        <x:v>0.05</x:v>
      </x:c>
      <x:c r="E76" s="493" t="n">
        <x:v>0.1</x:v>
      </x:c>
      <x:c r="F76" s="493" t="n">
        <x:v>0.15</x:v>
      </x:c>
      <x:c r="G76" s="28" t="str">
        <x:v>A12</x:v>
      </x:c>
      <x:c r="H76" s="28" t="str">
        <x:v>Unsupported scenario</x:v>
      </x:c>
      <x:c r="I76" s="28" t="str">
        <x:v>May generate benefits but can also create additional tertiary-system fiscal costs.</x:v>
      </x:c>
      <x:c r="J76" s="339"/>
      <x:c r="K76" s="339"/>
      <x:c r="L76" s="339"/>
      <x:c r="M76" s="339"/>
      <x:c r="N76" s="339"/>
      <x:c r="O76" s="339"/>
      <x:c r="P76" s="339"/>
      <x:c r="Q76" s="339"/>
      <x:c r="R76" s="339"/>
      <x:c r="S76" s="339"/>
      <x:c r="T76" s="339"/>
      <x:c r="U76" s="1194"/>
      <x:c r="V76" s="1194"/>
      <x:c r="W76" s="1194"/>
      <x:c r="X76" s="1194"/>
      <x:c r="Y76" s="339"/>
      <x:c r="Z76" s="339"/>
    </x:row>
    <x:row r="77">
      <x:c r="A77" s="28" t="str">
        <x:v>Student Loan</x:v>
      </x:c>
      <x:c r="B77" s="28" t="str">
        <x:v>Representative repayment duration</x:v>
      </x:c>
      <x:c r="C77" s="28" t="str">
        <x:v>years</x:v>
      </x:c>
      <x:c r="D77" s="492" t="n">
        <x:v>5.5</x:v>
      </x:c>
      <x:c r="E77" s="492" t="n">
        <x:v>6.5</x:v>
      </x:c>
      <x:c r="F77" s="492" t="n">
        <x:v>8</x:v>
      </x:c>
      <x:c r="G77" s="28" t="str">
        <x:v>S24</x:v>
      </x:c>
      <x:c r="H77" s="28" t="str">
        <x:v>Official benchmark plus scenario</x:v>
      </x:c>
      <x:c r="I77" s="28" t="str">
        <x:v>Central value sits within audited forecast repayment-time ranges.</x:v>
      </x:c>
      <x:c r="J77" s="339"/>
      <x:c r="K77" s="339"/>
      <x:c r="L77" s="339"/>
      <x:c r="M77" s="339"/>
      <x:c r="N77" s="339"/>
      <x:c r="O77" s="339"/>
      <x:c r="P77" s="339"/>
      <x:c r="Q77" s="339"/>
      <x:c r="R77" s="339"/>
      <x:c r="S77" s="339"/>
      <x:c r="T77" s="339"/>
      <x:c r="U77" s="1194"/>
      <x:c r="V77" s="1194"/>
      <x:c r="W77" s="1194"/>
      <x:c r="X77" s="1194"/>
      <x:c r="Y77" s="339"/>
      <x:c r="Z77" s="339"/>
    </x:row>
    <x:row r="78">
      <x:c r="A78" s="28" t="str">
        <x:v>Student Loan</x:v>
      </x:c>
      <x:c r="B78" s="28" t="str">
        <x:v>Overseas-based borrower proportion</x:v>
      </x:c>
      <x:c r="C78" s="28" t="str">
        <x:v>% of borrowers</x:v>
      </x:c>
      <x:c r="D78" s="491" t="n">
        <x:v>0.12</x:v>
      </x:c>
      <x:c r="E78" s="491" t="n">
        <x:v>0.1817</x:v>
      </x:c>
      <x:c r="F78" s="491" t="n">
        <x:v>0.25</x:v>
      </x:c>
      <x:c r="G78" s="28" t="str">
        <x:v>S24</x:v>
      </x:c>
      <x:c r="H78" s="28" t="str">
        <x:v>Official anchor plus sensitivity</x:v>
      </x:c>
      <x:c r="I78" s="28" t="str">
        <x:v>Annual report borrower-location mix; used only for an overseas-interest sensitivity.</x:v>
      </x:c>
      <x:c r="J78" s="339"/>
      <x:c r="K78" s="339"/>
      <x:c r="L78" s="339"/>
      <x:c r="M78" s="339"/>
      <x:c r="N78" s="339"/>
      <x:c r="O78" s="339"/>
      <x:c r="P78" s="339"/>
      <x:c r="Q78" s="339"/>
      <x:c r="R78" s="339"/>
      <x:c r="S78" s="339"/>
      <x:c r="T78" s="339"/>
      <x:c r="U78" s="1194"/>
      <x:c r="V78" s="1194"/>
      <x:c r="W78" s="1194"/>
      <x:c r="X78" s="1194"/>
      <x:c r="Y78" s="339"/>
      <x:c r="Z78" s="339"/>
    </x:row>
    <x:row r="79">
      <x:c r="A79" s="28" t="str">
        <x:v>Student Loan</x:v>
      </x:c>
      <x:c r="B79" s="28" t="str">
        <x:v>Overseas-borrower interest rate</x:v>
      </x:c>
      <x:c r="C79" s="28" t="str">
        <x:v>%</x:v>
      </x:c>
      <x:c r="D79" s="491" t="n">
        <x:v>0.048</x:v>
      </x:c>
      <x:c r="E79" s="491" t="n">
        <x:v>0.057</x:v>
      </x:c>
      <x:c r="F79" s="491" t="n">
        <x:v>0.067</x:v>
      </x:c>
      <x:c r="G79" s="28" t="str">
        <x:v>S24</x:v>
      </x:c>
      <x:c r="H79" s="28" t="str">
        <x:v>Official range plus midpoint</x:v>
      </x:c>
      <x:c r="I79" s="28" t="str">
        <x:v>Separate borrower sensitivity; domestic loans are ordinarily interest-free while eligibility conditions are met.</x:v>
      </x:c>
      <x:c r="J79" s="339"/>
      <x:c r="K79" s="339"/>
      <x:c r="L79" s="339"/>
      <x:c r="M79" s="339"/>
      <x:c r="N79" s="339"/>
      <x:c r="O79" s="339"/>
      <x:c r="P79" s="339"/>
      <x:c r="Q79" s="339"/>
      <x:c r="R79" s="339"/>
      <x:c r="S79" s="339"/>
      <x:c r="T79" s="339"/>
      <x:c r="U79" s="1194"/>
      <x:c r="V79" s="1194"/>
      <x:c r="W79" s="1194"/>
      <x:c r="X79" s="1194"/>
      <x:c r="Y79" s="339"/>
      <x:c r="Z79" s="339"/>
    </x:row>
    <x:row r="80">
      <x:c r="A80" s="28" t="str">
        <x:v>Student Loan</x:v>
      </x:c>
      <x:c r="B80" s="28" t="str">
        <x:v>Initial fair-value cost per dollar lent</x:v>
      </x:c>
      <x:c r="C80" s="28" t="str">
        <x:v>%</x:v>
      </x:c>
      <x:c r="D80" s="491" t="n">
        <x:v>0.3424</x:v>
      </x:c>
      <x:c r="E80" s="491" t="n">
        <x:v>0.3424</x:v>
      </x:c>
      <x:c r="F80" s="491" t="n">
        <x:v>0.3424</x:v>
      </x:c>
      <x:c r="G80" s="28" t="str">
        <x:v>S24</x:v>
      </x:c>
      <x:c r="H80" s="28" t="str">
        <x:v>Official audited measure</x:v>
      </x:c>
      <x:c r="I80" s="28" t="str">
        <x:v>Central Crown origination view; do not add to overlapping discount or inflation views.</x:v>
      </x:c>
      <x:c r="J80" s="339"/>
      <x:c r="K80" s="339"/>
      <x:c r="L80" s="339"/>
      <x:c r="M80" s="339"/>
      <x:c r="N80" s="339"/>
      <x:c r="O80" s="339"/>
      <x:c r="P80" s="339"/>
      <x:c r="Q80" s="339"/>
      <x:c r="R80" s="339"/>
      <x:c r="S80" s="339"/>
      <x:c r="T80" s="339"/>
      <x:c r="U80" s="1194"/>
      <x:c r="V80" s="1194"/>
      <x:c r="W80" s="1194"/>
      <x:c r="X80" s="1194"/>
      <x:c r="Y80" s="339"/>
      <x:c r="Z80" s="339"/>
    </x:row>
    <x:row r="81">
      <x:c r="A81" s="28" t="str">
        <x:v>Student Loan</x:v>
      </x:c>
      <x:c r="B81" s="28" t="str">
        <x:v>Gross new lending — 2024/25</x:v>
      </x:c>
      <x:c r="C81" s="28" t="str">
        <x:v>NZD</x:v>
      </x:c>
      <x:c r="D81" s="48" t="n">
        <x:v>1709000000</x:v>
      </x:c>
      <x:c r="E81" s="48" t="n">
        <x:v>1709000000</x:v>
      </x:c>
      <x:c r="F81" s="48" t="n">
        <x:v>1709000000</x:v>
      </x:c>
      <x:c r="G81" s="28" t="str">
        <x:v>S24</x:v>
      </x:c>
      <x:c r="H81" s="28" t="str">
        <x:v>Official audited measure</x:v>
      </x:c>
      <x:c r="I81" s="28" t="str">
        <x:v>Net of refunded course fees and including the establishment fee.</x:v>
      </x:c>
      <x:c r="J81" s="339"/>
      <x:c r="K81" s="339"/>
      <x:c r="L81" s="339"/>
      <x:c r="M81" s="339"/>
      <x:c r="N81" s="339"/>
      <x:c r="O81" s="339"/>
      <x:c r="P81" s="339"/>
      <x:c r="Q81" s="339"/>
      <x:c r="R81" s="339"/>
      <x:c r="S81" s="339"/>
      <x:c r="T81" s="339"/>
      <x:c r="U81" s="1194"/>
      <x:c r="V81" s="1194"/>
      <x:c r="W81" s="1194"/>
      <x:c r="X81" s="1194"/>
      <x:c r="Y81" s="339"/>
      <x:c r="Z81" s="339"/>
    </x:row>
    <x:row r="82">
      <x:c r="A82" s="28" t="str">
        <x:v>Student Loan</x:v>
      </x:c>
      <x:c r="B82" s="28" t="str">
        <x:v>Initial fair-value write-down — 2024/25</x:v>
      </x:c>
      <x:c r="C82" s="28" t="str">
        <x:v>NZD</x:v>
      </x:c>
      <x:c r="D82" s="48" t="n">
        <x:v>585000000</x:v>
      </x:c>
      <x:c r="E82" s="48" t="n">
        <x:v>585000000</x:v>
      </x:c>
      <x:c r="F82" s="48" t="n">
        <x:v>585000000</x:v>
      </x:c>
      <x:c r="G82" s="28" t="str">
        <x:v>S24</x:v>
      </x:c>
      <x:c r="H82" s="28" t="str">
        <x:v>Official audited measure</x:v>
      </x:c>
      <x:c r="I82" s="28" t="str">
        <x:v>Recognised when lending originated.</x:v>
      </x:c>
      <x:c r="J82" s="339"/>
      <x:c r="K82" s="339"/>
      <x:c r="L82" s="339"/>
      <x:c r="M82" s="339"/>
      <x:c r="N82" s="339"/>
      <x:c r="O82" s="339"/>
      <x:c r="P82" s="339"/>
      <x:c r="Q82" s="339"/>
      <x:c r="R82" s="339"/>
      <x:c r="S82" s="339"/>
      <x:c r="T82" s="339"/>
      <x:c r="U82" s="1194"/>
      <x:c r="V82" s="1194"/>
      <x:c r="W82" s="1194"/>
      <x:c r="X82" s="1194"/>
      <x:c r="Y82" s="339"/>
      <x:c r="Z82" s="339"/>
    </x:row>
    <x:row r="83">
      <x:c r="A83" s="28" t="str">
        <x:v>Student Loan</x:v>
      </x:c>
      <x:c r="B83" s="28" t="str">
        <x:v>Student-loan asset fair value</x:v>
      </x:c>
      <x:c r="C83" s="28" t="str">
        <x:v>NZD</x:v>
      </x:c>
      <x:c r="D83" s="48" t="n">
        <x:v>10054000000</x:v>
      </x:c>
      <x:c r="E83" s="48" t="n">
        <x:v>10054000000</x:v>
      </x:c>
      <x:c r="F83" s="48" t="n">
        <x:v>10054000000</x:v>
      </x:c>
      <x:c r="G83" s="28" t="str">
        <x:v>S24;S25</x:v>
      </x:c>
      <x:c r="H83" s="28" t="str">
        <x:v>Official audited measure</x:v>
      </x:c>
      <x:c r="I83" s="28" t="str">
        <x:v>At 30 June 2025.</x:v>
      </x:c>
      <x:c r="J83" s="339"/>
      <x:c r="K83" s="339"/>
      <x:c r="L83" s="339"/>
      <x:c r="M83" s="339"/>
      <x:c r="N83" s="339"/>
      <x:c r="O83" s="339"/>
      <x:c r="P83" s="339"/>
      <x:c r="Q83" s="339"/>
      <x:c r="R83" s="339"/>
      <x:c r="S83" s="339"/>
      <x:c r="T83" s="339"/>
      <x:c r="U83" s="1194"/>
      <x:c r="V83" s="1194"/>
      <x:c r="W83" s="1194"/>
      <x:c r="X83" s="1194"/>
      <x:c r="Y83" s="339"/>
      <x:c r="Z83" s="339"/>
    </x:row>
    <x:row r="84">
      <x:c r="A84" s="28" t="str">
        <x:v>Student Loan</x:v>
      </x:c>
      <x:c r="B84" s="28" t="str">
        <x:v>Representative student-loan discount rate incl. expenses</x:v>
      </x:c>
      <x:c r="C84" s="28" t="str">
        <x:v>%</x:v>
      </x:c>
      <x:c r="D84" s="491" t="n">
        <x:v>0.0567</x:v>
      </x:c>
      <x:c r="E84" s="491" t="n">
        <x:v>0.0567</x:v>
      </x:c>
      <x:c r="F84" s="491" t="n">
        <x:v>0.0567</x:v>
      </x:c>
      <x:c r="G84" s="28" t="str">
        <x:v>S24;S25</x:v>
      </x:c>
      <x:c r="H84" s="28" t="str">
        <x:v>Official audited measure</x:v>
      </x:c>
      <x:c r="I84" s="28" t="str">
        <x:v>4.42% representative risk-free rate + 0.79% risk adjustment + 0.46% collection/administration.</x:v>
      </x:c>
      <x:c r="J84" s="339"/>
      <x:c r="K84" s="339"/>
      <x:c r="L84" s="339"/>
      <x:c r="M84" s="339"/>
      <x:c r="N84" s="339"/>
      <x:c r="O84" s="339"/>
      <x:c r="P84" s="339"/>
      <x:c r="Q84" s="339"/>
      <x:c r="R84" s="339"/>
      <x:c r="S84" s="339"/>
      <x:c r="T84" s="339"/>
      <x:c r="U84" s="1194"/>
      <x:c r="V84" s="1194"/>
      <x:c r="W84" s="1194"/>
      <x:c r="X84" s="1194"/>
      <x:c r="Y84" s="339"/>
      <x:c r="Z84" s="339"/>
    </x:row>
    <x:row r="85">
      <x:c r="A85" s="28" t="str">
        <x:v>Student Loan</x:v>
      </x:c>
      <x:c r="B85" s="28" t="str">
        <x:v>Annual Crown cost of ownership — 2025/26</x:v>
      </x:c>
      <x:c r="C85" s="28" t="str">
        <x:v>NZD</x:v>
      </x:c>
      <x:c r="D85" s="48" t="n">
        <x:v>544000000</x:v>
      </x:c>
      <x:c r="E85" s="48" t="n">
        <x:v>544000000</x:v>
      </x:c>
      <x:c r="F85" s="48" t="n">
        <x:v>544000000</x:v>
      </x:c>
      <x:c r="G85" s="28" t="str">
        <x:v>S24</x:v>
      </x:c>
      <x:c r="H85" s="28" t="str">
        <x:v>Official estimate</x:v>
      </x:c>
      <x:c r="I85" s="28" t="str">
        <x:v>A carrying-cost view; not additive to the origination fair-value cost.</x:v>
      </x:c>
      <x:c r="J85" s="339"/>
      <x:c r="K85" s="339"/>
      <x:c r="L85" s="339"/>
      <x:c r="M85" s="339"/>
      <x:c r="N85" s="339"/>
      <x:c r="O85" s="339"/>
      <x:c r="P85" s="339"/>
      <x:c r="Q85" s="339"/>
      <x:c r="R85" s="339"/>
      <x:c r="S85" s="339"/>
      <x:c r="T85" s="339"/>
      <x:c r="U85" s="1194"/>
      <x:c r="V85" s="1194"/>
      <x:c r="W85" s="1194"/>
      <x:c r="X85" s="1194"/>
      <x:c r="Y85" s="339"/>
      <x:c r="Z85" s="339"/>
    </x:row>
    <x:row r="86">
      <x:c r="A86" s="28" t="str">
        <x:v>Student Loan</x:v>
      </x:c>
      <x:c r="B86" s="28" t="str">
        <x:v>Student-loan valuation risk adjustment</x:v>
      </x:c>
      <x:c r="C86" s="28" t="str">
        <x:v>%</x:v>
      </x:c>
      <x:c r="D86" s="491" t="n">
        <x:v>0.0079</x:v>
      </x:c>
      <x:c r="E86" s="491" t="n">
        <x:v>0.0079</x:v>
      </x:c>
      <x:c r="F86" s="491" t="n">
        <x:v>0.0079</x:v>
      </x:c>
      <x:c r="G86" s="28" t="str">
        <x:v>S24;S25</x:v>
      </x:c>
      <x:c r="H86" s="28" t="str">
        <x:v>Official audited measure</x:v>
      </x:c>
      <x:c r="I86" s="28" t="str">
        <x:v>Added to Treasury risk-free rates within the actuarial valuation.</x:v>
      </x:c>
      <x:c r="J86" s="339"/>
      <x:c r="K86" s="339"/>
      <x:c r="L86" s="339"/>
      <x:c r="M86" s="339"/>
      <x:c r="N86" s="339"/>
      <x:c r="O86" s="339"/>
      <x:c r="P86" s="339"/>
      <x:c r="Q86" s="339"/>
      <x:c r="R86" s="339"/>
      <x:c r="S86" s="339"/>
      <x:c r="T86" s="339"/>
      <x:c r="U86" s="1194"/>
      <x:c r="V86" s="1194"/>
      <x:c r="W86" s="1194"/>
      <x:c r="X86" s="1194"/>
      <x:c r="Y86" s="339"/>
      <x:c r="Z86" s="339"/>
    </x:row>
    <x:row r="87">
      <x:c r="A87" s="28" t="str">
        <x:v>Student Loan</x:v>
      </x:c>
      <x:c r="B87" s="28" t="str">
        <x:v>Student-loan collection and administration allowance</x:v>
      </x:c>
      <x:c r="C87" s="28" t="str">
        <x:v>%</x:v>
      </x:c>
      <x:c r="D87" s="491" t="n">
        <x:v>0.0046</x:v>
      </x:c>
      <x:c r="E87" s="491" t="n">
        <x:v>0.0046</x:v>
      </x:c>
      <x:c r="F87" s="491" t="n">
        <x:v>0.0046</x:v>
      </x:c>
      <x:c r="G87" s="28" t="str">
        <x:v>S24</x:v>
      </x:c>
      <x:c r="H87" s="28" t="str">
        <x:v>Official audited measure</x:v>
      </x:c>
      <x:c r="I87" s="28" t="str">
        <x:v>Included in the representative 5.67% rate.</x:v>
      </x:c>
      <x:c r="J87" s="339"/>
      <x:c r="K87" s="339"/>
      <x:c r="L87" s="339"/>
      <x:c r="M87" s="339"/>
      <x:c r="N87" s="339"/>
      <x:c r="O87" s="339"/>
      <x:c r="P87" s="339"/>
      <x:c r="Q87" s="339"/>
      <x:c r="R87" s="339"/>
      <x:c r="S87" s="339"/>
      <x:c r="T87" s="339"/>
      <x:c r="U87" s="1194"/>
      <x:c r="V87" s="1194"/>
      <x:c r="W87" s="1194"/>
      <x:c r="X87" s="1194"/>
      <x:c r="Y87" s="339"/>
      <x:c r="Z87" s="339"/>
    </x:row>
    <x:row r="88">
      <x:c r="A88" s="28" t="str">
        <x:v>Student Loan</x:v>
      </x:c>
      <x:c r="B88" s="28" t="str">
        <x:v>Marginal administration saving per complete loan avoided</x:v>
      </x:c>
      <x:c r="C88" s="28" t="str">
        <x:v>NZD/loan</x:v>
      </x:c>
      <x:c r="D88" s="494" t="n">
        <x:v>0</x:v>
      </x:c>
      <x:c r="E88" s="494" t="n">
        <x:v>0</x:v>
      </x:c>
      <x:c r="F88" s="494" t="n">
        <x:v>0</x:v>
      </x:c>
      <x:c r="G88" s="28" t="str">
        <x:v>A12</x:v>
      </x:c>
      <x:c r="H88" s="28" t="str">
        <x:v>Unsupported — zero central</x:v>
      </x:c>
      <x:c r="I88" s="28" t="str">
        <x:v>No defensible marginal cost per complete loan has been identified.</x:v>
      </x:c>
      <x:c r="J88" s="339"/>
      <x:c r="K88" s="339"/>
      <x:c r="L88" s="339"/>
      <x:c r="M88" s="339"/>
      <x:c r="N88" s="339"/>
      <x:c r="O88" s="339"/>
      <x:c r="P88" s="339"/>
      <x:c r="Q88" s="339"/>
      <x:c r="R88" s="339"/>
      <x:c r="S88" s="339"/>
      <x:c r="T88" s="339"/>
      <x:c r="U88" s="1194"/>
      <x:c r="V88" s="1194"/>
      <x:c r="W88" s="1194"/>
      <x:c r="X88" s="1194"/>
      <x:c r="Y88" s="339"/>
      <x:c r="Z88" s="339"/>
    </x:row>
    <x:row r="89">
      <x:c r="A89" s="28" t="str">
        <x:v>Student Loan</x:v>
      </x:c>
      <x:c r="B89" s="28" t="str">
        <x:v>Incremental tertiary-system fiscal cost per induced participant</x:v>
      </x:c>
      <x:c r="C89" s="28" t="str">
        <x:v>NZD/person</x:v>
      </x:c>
      <x:c r="D89" s="494" t="n">
        <x:v>6000</x:v>
      </x:c>
      <x:c r="E89" s="494" t="n">
        <x:v>8000</x:v>
      </x:c>
      <x:c r="F89" s="494" t="n">
        <x:v>10000</x:v>
      </x:c>
      <x:c r="G89" s="28" t="str">
        <x:v>S24;A16</x:v>
      </x:c>
      <x:c r="H89" s="28" t="str">
        <x:v>Scenario assumption</x:v>
      </x:c>
      <x:c r="I89" s="28" t="str">
        <x:v>Approximate provider-based public funding order of magnitude; requires pathway-specific costing.</x:v>
      </x:c>
      <x:c r="J89" s="339"/>
      <x:c r="K89" s="339"/>
      <x:c r="L89" s="339"/>
      <x:c r="M89" s="339"/>
      <x:c r="N89" s="339"/>
      <x:c r="O89" s="339"/>
      <x:c r="P89" s="339"/>
      <x:c r="Q89" s="339"/>
      <x:c r="R89" s="339"/>
      <x:c r="S89" s="339"/>
      <x:c r="T89" s="339"/>
      <x:c r="U89" s="1194"/>
      <x:c r="V89" s="1194"/>
      <x:c r="W89" s="1194"/>
      <x:c r="X89" s="1194"/>
      <x:c r="Y89" s="339"/>
      <x:c r="Z89" s="339"/>
    </x:row>
    <x:row r="90">
      <x:c r="A90" s="498" t="str">
        <x:v>Inflation</x:v>
      </x:c>
      <x:c r="B90" s="498" t="str">
        <x:v>Ten-year historical annualised CPI</x:v>
      </x:c>
      <x:c r="C90" s="496" t="str">
        <x:v>%</x:v>
      </x:c>
      <x:c r="D90" s="497" t="n">
        <x:v>0.03181013282891576</x:v>
      </x:c>
      <x:c r="E90" s="497" t="n">
        <x:v>0.03181013282891576</x:v>
      </x:c>
      <x:c r="F90" s="497" t="n">
        <x:v>0.03181013282891576</x:v>
      </x:c>
      <x:c r="G90" s="496" t="str">
        <x:v>S27</x:v>
      </x:c>
      <x:c r="H90" s="496" t="str">
        <x:v>Official calculation</x:v>
      </x:c>
      <x:c r="I90" s="496" t="str">
        <x:v>Geometric annual rate from March 2016 CPI 979 to March 2026 CPI 1339.</x:v>
      </x:c>
      <x:c r="J90" s="339"/>
      <x:c r="K90" s="339"/>
      <x:c r="L90" s="339"/>
      <x:c r="M90" s="339"/>
      <x:c r="N90" s="339"/>
      <x:c r="O90" s="339"/>
      <x:c r="P90" s="339"/>
      <x:c r="Q90" s="339"/>
      <x:c r="R90" s="339"/>
      <x:c r="S90" s="339"/>
      <x:c r="T90" s="339"/>
      <x:c r="U90" s="1194"/>
      <x:c r="V90" s="1194"/>
      <x:c r="W90" s="1194"/>
      <x:c r="X90" s="1194"/>
      <x:c r="Y90" s="339"/>
      <x:c r="Z90" s="339"/>
    </x:row>
    <x:row r="91">
      <x:c r="A91" s="28" t="str">
        <x:v>Inflation</x:v>
      </x:c>
      <x:c r="B91" s="28" t="str">
        <x:v>Twenty-year historical annualised CPI</x:v>
      </x:c>
      <x:c r="C91" s="28" t="str">
        <x:v>%</x:v>
      </x:c>
      <x:c r="D91" s="491" t="n">
        <x:v>0.025895799436110645</x:v>
      </x:c>
      <x:c r="E91" s="491" t="n">
        <x:v>0.025895799436110645</x:v>
      </x:c>
      <x:c r="F91" s="491" t="n">
        <x:v>0.025895799436110645</x:v>
      </x:c>
      <x:c r="G91" s="28" t="str">
        <x:v>S27</x:v>
      </x:c>
      <x:c r="H91" s="28" t="str">
        <x:v>Official calculation</x:v>
      </x:c>
      <x:c r="I91" s="28" t="str">
        <x:v>Geometric annual rate from March 2006 CPI 803 to March 2026 CPI 1339.</x:v>
      </x:c>
      <x:c r="J91" s="339"/>
      <x:c r="K91" s="339"/>
      <x:c r="L91" s="339"/>
      <x:c r="M91" s="339"/>
      <x:c r="N91" s="339"/>
      <x:c r="O91" s="339"/>
      <x:c r="P91" s="339"/>
      <x:c r="Q91" s="339"/>
      <x:c r="R91" s="339"/>
      <x:c r="S91" s="339"/>
      <x:c r="T91" s="339"/>
      <x:c r="U91" s="1194"/>
      <x:c r="V91" s="1194"/>
      <x:c r="W91" s="1194"/>
      <x:c r="X91" s="1194"/>
      <x:c r="Y91" s="339"/>
      <x:c r="Z91" s="339"/>
    </x:row>
    <x:row r="92">
      <x:c r="A92" s="28" t="str">
        <x:v>Inflation</x:v>
      </x:c>
      <x:c r="B92" s="28" t="str">
        <x:v>Long-term Treasury CPI assumption</x:v>
      </x:c>
      <x:c r="C92" s="28" t="str">
        <x:v>%</x:v>
      </x:c>
      <x:c r="D92" s="491" t="n">
        <x:v>0.02</x:v>
      </x:c>
      <x:c r="E92" s="491" t="n">
        <x:v>0.02</x:v>
      </x:c>
      <x:c r="F92" s="491" t="n">
        <x:v>0.02</x:v>
      </x:c>
      <x:c r="G92" s="28" t="str">
        <x:v>S26</x:v>
      </x:c>
      <x:c r="H92" s="28" t="str">
        <x:v>Official</x:v>
      </x:c>
      <x:c r="I92" s="28" t="str">
        <x:v>Long-run purchasing-power assumption.</x:v>
      </x:c>
      <x:c r="J92" s="339"/>
      <x:c r="K92" s="339"/>
      <x:c r="L92" s="339"/>
      <x:c r="M92" s="339"/>
      <x:c r="N92" s="339"/>
      <x:c r="O92" s="339"/>
      <x:c r="P92" s="339"/>
      <x:c r="Q92" s="339"/>
      <x:c r="R92" s="339"/>
      <x:c r="S92" s="339"/>
      <x:c r="T92" s="339"/>
      <x:c r="U92" s="1194"/>
      <x:c r="V92" s="1194"/>
      <x:c r="W92" s="1194"/>
      <x:c r="X92" s="1194"/>
      <x:c r="Y92" s="339"/>
      <x:c r="Z92" s="339"/>
    </x:row>
    <x:row r="93">
      <x:c r="A93" s="28" t="str">
        <x:v>Inflation</x:v>
      </x:c>
      <x:c r="B93" s="28" t="str">
        <x:v>Constant CPI sensitivity</x:v>
      </x:c>
      <x:c r="C93" s="28" t="str">
        <x:v>%</x:v>
      </x:c>
      <x:c r="D93" s="491" t="n">
        <x:v>0.02</x:v>
      </x:c>
      <x:c r="E93" s="491" t="n">
        <x:v>0.03</x:v>
      </x:c>
      <x:c r="F93" s="491" t="n">
        <x:v>0.04</x:v>
      </x:c>
      <x:c r="G93" s="28" t="str">
        <x:v>S26</x:v>
      </x:c>
      <x:c r="H93" s="28" t="str">
        <x:v>Sensitivity</x:v>
      </x:c>
      <x:c r="I93" s="28" t="str">
        <x:v>Separate from the Treasury forward curve.</x:v>
      </x:c>
      <x:c r="J93" s="339"/>
      <x:c r="K93" s="339"/>
      <x:c r="L93" s="339"/>
      <x:c r="M93" s="339"/>
      <x:c r="N93" s="339"/>
      <x:c r="O93" s="339"/>
      <x:c r="P93" s="339"/>
      <x:c r="Q93" s="339"/>
      <x:c r="R93" s="339"/>
      <x:c r="S93" s="339"/>
      <x:c r="T93" s="339"/>
      <x:c r="U93" s="1194"/>
      <x:c r="V93" s="1194"/>
      <x:c r="W93" s="1194"/>
      <x:c r="X93" s="1194"/>
      <x:c r="Y93" s="339"/>
      <x:c r="Z93" s="339"/>
    </x:row>
    <x:row r="94">
      <x:c r="A94" s="498" t="str">
        <x:v>Treasury curve</x:v>
      </x:c>
      <x:c r="B94" s="498" t="str">
        <x:v>Treasury forward CPI — Year 1</x:v>
      </x:c>
      <x:c r="C94" s="496" t="str">
        <x:v>%</x:v>
      </x:c>
      <x:c r="D94" s="497" t="n">
        <x:v>0.027</x:v>
      </x:c>
      <x:c r="E94" s="497" t="n">
        <x:v>0.027</x:v>
      </x:c>
      <x:c r="F94" s="497" t="n">
        <x:v>0.027</x:v>
      </x:c>
      <x:c r="G94" s="496" t="str">
        <x:v>S26</x:v>
      </x:c>
      <x:c r="H94" s="496" t="str">
        <x:v>Official; auditor confirmation pending</x:v>
      </x:c>
      <x:c r="I94" s="496" t="str">
        <x:v>30 June 2026 accounting-valuation curve.</x:v>
      </x:c>
      <x:c r="J94" s="339"/>
      <x:c r="K94" s="339"/>
      <x:c r="L94" s="339"/>
      <x:c r="M94" s="339"/>
      <x:c r="N94" s="339"/>
      <x:c r="O94" s="339"/>
      <x:c r="P94" s="339"/>
      <x:c r="Q94" s="339"/>
      <x:c r="R94" s="339"/>
      <x:c r="S94" s="339"/>
      <x:c r="T94" s="339"/>
      <x:c r="U94" s="1194"/>
      <x:c r="V94" s="1194"/>
      <x:c r="W94" s="1194"/>
      <x:c r="X94" s="1194"/>
      <x:c r="Y94" s="339"/>
      <x:c r="Z94" s="339"/>
    </x:row>
    <x:row r="95">
      <x:c r="A95" s="28" t="str">
        <x:v>Treasury curve</x:v>
      </x:c>
      <x:c r="B95" s="28" t="str">
        <x:v>Treasury forward CPI — Year 2</x:v>
      </x:c>
      <x:c r="C95" s="28" t="str">
        <x:v>%</x:v>
      </x:c>
      <x:c r="D95" s="491" t="n">
        <x:v>0.0231</x:v>
      </x:c>
      <x:c r="E95" s="491" t="n">
        <x:v>0.0231</x:v>
      </x:c>
      <x:c r="F95" s="491" t="n">
        <x:v>0.0231</x:v>
      </x:c>
      <x:c r="G95" s="28" t="str">
        <x:v>S26</x:v>
      </x:c>
      <x:c r="H95" s="28" t="str">
        <x:v>Official; auditor confirmation pending</x:v>
      </x:c>
      <x:c r="I95" s="28" t="str">
        <x:v>30 June 2026 accounting-valuation curve.</x:v>
      </x:c>
      <x:c r="J95" s="339"/>
      <x:c r="K95" s="339"/>
      <x:c r="L95" s="339"/>
      <x:c r="M95" s="339"/>
      <x:c r="N95" s="339"/>
      <x:c r="O95" s="339"/>
      <x:c r="P95" s="339"/>
      <x:c r="Q95" s="339"/>
      <x:c r="R95" s="339"/>
      <x:c r="S95" s="339"/>
      <x:c r="T95" s="339"/>
      <x:c r="U95" s="1194"/>
      <x:c r="V95" s="1194"/>
      <x:c r="W95" s="1194"/>
      <x:c r="X95" s="1194"/>
      <x:c r="Y95" s="339"/>
      <x:c r="Z95" s="339"/>
    </x:row>
    <x:row r="96">
      <x:c r="A96" s="28" t="str">
        <x:v>Treasury curve</x:v>
      </x:c>
      <x:c r="B96" s="28" t="str">
        <x:v>Treasury forward CPI — Year 3</x:v>
      </x:c>
      <x:c r="C96" s="28" t="str">
        <x:v>%</x:v>
      </x:c>
      <x:c r="D96" s="491" t="n">
        <x:v>0.0215</x:v>
      </x:c>
      <x:c r="E96" s="491" t="n">
        <x:v>0.0215</x:v>
      </x:c>
      <x:c r="F96" s="491" t="n">
        <x:v>0.0215</x:v>
      </x:c>
      <x:c r="G96" s="28" t="str">
        <x:v>S26</x:v>
      </x:c>
      <x:c r="H96" s="28" t="str">
        <x:v>Official; auditor confirmation pending</x:v>
      </x:c>
      <x:c r="I96" s="28" t="str">
        <x:v>30 June 2026 accounting-valuation curve.</x:v>
      </x:c>
      <x:c r="J96" s="339"/>
      <x:c r="K96" s="339"/>
      <x:c r="L96" s="339"/>
      <x:c r="M96" s="339"/>
      <x:c r="N96" s="339"/>
      <x:c r="O96" s="339"/>
      <x:c r="P96" s="339"/>
      <x:c r="Q96" s="339"/>
      <x:c r="R96" s="339"/>
      <x:c r="S96" s="339"/>
      <x:c r="T96" s="339"/>
      <x:c r="U96" s="1194"/>
      <x:c r="V96" s="1194"/>
      <x:c r="W96" s="1194"/>
      <x:c r="X96" s="1194"/>
      <x:c r="Y96" s="339"/>
      <x:c r="Z96" s="339"/>
    </x:row>
    <x:row r="97">
      <x:c r="A97" s="28" t="str">
        <x:v>Treasury curve</x:v>
      </x:c>
      <x:c r="B97" s="28" t="str">
        <x:v>Treasury forward CPI — Year 4</x:v>
      </x:c>
      <x:c r="C97" s="28" t="str">
        <x:v>%</x:v>
      </x:c>
      <x:c r="D97" s="491" t="n">
        <x:v>0.021</x:v>
      </x:c>
      <x:c r="E97" s="491" t="n">
        <x:v>0.021</x:v>
      </x:c>
      <x:c r="F97" s="491" t="n">
        <x:v>0.021</x:v>
      </x:c>
      <x:c r="G97" s="28" t="str">
        <x:v>S26</x:v>
      </x:c>
      <x:c r="H97" s="28" t="str">
        <x:v>Official; auditor confirmation pending</x:v>
      </x:c>
      <x:c r="I97" s="28" t="str">
        <x:v>30 June 2026 accounting-valuation curve.</x:v>
      </x:c>
      <x:c r="J97" s="339"/>
      <x:c r="K97" s="339"/>
      <x:c r="L97" s="339"/>
      <x:c r="M97" s="339"/>
      <x:c r="N97" s="339"/>
      <x:c r="O97" s="339"/>
      <x:c r="P97" s="339"/>
      <x:c r="Q97" s="339"/>
      <x:c r="R97" s="339"/>
      <x:c r="S97" s="339"/>
      <x:c r="T97" s="339"/>
      <x:c r="U97" s="1194"/>
      <x:c r="V97" s="1194"/>
      <x:c r="W97" s="1194"/>
      <x:c r="X97" s="1194"/>
      <x:c r="Y97" s="339"/>
      <x:c r="Z97" s="339"/>
    </x:row>
    <x:row r="98">
      <x:c r="A98" s="28" t="str">
        <x:v>Treasury curve</x:v>
      </x:c>
      <x:c r="B98" s="28" t="str">
        <x:v>Treasury forward CPI — Year 5</x:v>
      </x:c>
      <x:c r="C98" s="28" t="str">
        <x:v>%</x:v>
      </x:c>
      <x:c r="D98" s="491" t="n">
        <x:v>0.0196</x:v>
      </x:c>
      <x:c r="E98" s="491" t="n">
        <x:v>0.0196</x:v>
      </x:c>
      <x:c r="F98" s="491" t="n">
        <x:v>0.0196</x:v>
      </x:c>
      <x:c r="G98" s="28" t="str">
        <x:v>S26</x:v>
      </x:c>
      <x:c r="H98" s="28" t="str">
        <x:v>Official; auditor confirmation pending</x:v>
      </x:c>
      <x:c r="I98" s="28" t="str">
        <x:v>30 June 2026 accounting-valuation curve.</x:v>
      </x:c>
      <x:c r="J98" s="339"/>
      <x:c r="K98" s="339"/>
      <x:c r="L98" s="339"/>
      <x:c r="M98" s="339"/>
      <x:c r="N98" s="339"/>
      <x:c r="O98" s="339"/>
      <x:c r="P98" s="339"/>
      <x:c r="Q98" s="339"/>
      <x:c r="R98" s="339"/>
      <x:c r="S98" s="339"/>
      <x:c r="T98" s="339"/>
      <x:c r="U98" s="1194"/>
      <x:c r="V98" s="1194"/>
      <x:c r="W98" s="1194"/>
      <x:c r="X98" s="1194"/>
      <x:c r="Y98" s="339"/>
      <x:c r="Z98" s="339"/>
    </x:row>
    <x:row r="99">
      <x:c r="A99" s="28" t="str">
        <x:v>Treasury curve</x:v>
      </x:c>
      <x:c r="B99" s="28" t="str">
        <x:v>Treasury forward CPI — Year 6</x:v>
      </x:c>
      <x:c r="C99" s="28" t="str">
        <x:v>%</x:v>
      </x:c>
      <x:c r="D99" s="491" t="n">
        <x:v>0.0196</x:v>
      </x:c>
      <x:c r="E99" s="491" t="n">
        <x:v>0.0196</x:v>
      </x:c>
      <x:c r="F99" s="491" t="n">
        <x:v>0.0196</x:v>
      </x:c>
      <x:c r="G99" s="28" t="str">
        <x:v>S26</x:v>
      </x:c>
      <x:c r="H99" s="28" t="str">
        <x:v>Official; auditor confirmation pending</x:v>
      </x:c>
      <x:c r="I99" s="28" t="str">
        <x:v>30 June 2026 accounting-valuation curve.</x:v>
      </x:c>
      <x:c r="J99" s="339"/>
      <x:c r="K99" s="339"/>
      <x:c r="L99" s="339"/>
      <x:c r="M99" s="339"/>
      <x:c r="N99" s="339"/>
      <x:c r="O99" s="339"/>
      <x:c r="P99" s="339"/>
      <x:c r="Q99" s="339"/>
      <x:c r="R99" s="339"/>
      <x:c r="S99" s="339"/>
      <x:c r="T99" s="339"/>
      <x:c r="U99" s="1194"/>
      <x:c r="V99" s="1194"/>
      <x:c r="W99" s="1194"/>
      <x:c r="X99" s="1194"/>
      <x:c r="Y99" s="339"/>
      <x:c r="Z99" s="339"/>
    </x:row>
    <x:row r="100">
      <x:c r="A100" s="28" t="str">
        <x:v>Treasury curve</x:v>
      </x:c>
      <x:c r="B100" s="28" t="str">
        <x:v>Treasury forward CPI — Year 7</x:v>
      </x:c>
      <x:c r="C100" s="28" t="str">
        <x:v>%</x:v>
      </x:c>
      <x:c r="D100" s="491" t="n">
        <x:v>0.0196</x:v>
      </x:c>
      <x:c r="E100" s="491" t="n">
        <x:v>0.0196</x:v>
      </x:c>
      <x:c r="F100" s="491" t="n">
        <x:v>0.0196</x:v>
      </x:c>
      <x:c r="G100" s="28" t="str">
        <x:v>S26</x:v>
      </x:c>
      <x:c r="H100" s="28" t="str">
        <x:v>Official; auditor confirmation pending</x:v>
      </x:c>
      <x:c r="I100" s="28" t="str">
        <x:v>30 June 2026 accounting-valuation curve.</x:v>
      </x:c>
      <x:c r="J100" s="339"/>
      <x:c r="K100" s="339"/>
      <x:c r="L100" s="339"/>
      <x:c r="M100" s="339"/>
      <x:c r="N100" s="339"/>
      <x:c r="O100" s="339"/>
      <x:c r="P100" s="339"/>
      <x:c r="Q100" s="339"/>
      <x:c r="R100" s="339"/>
      <x:c r="S100" s="339"/>
      <x:c r="T100" s="339"/>
      <x:c r="U100" s="1194"/>
      <x:c r="V100" s="1194"/>
      <x:c r="W100" s="1194"/>
      <x:c r="X100" s="1194"/>
      <x:c r="Y100" s="339"/>
      <x:c r="Z100" s="339"/>
    </x:row>
    <x:row r="101">
      <x:c r="A101" s="28" t="str">
        <x:v>Treasury curve</x:v>
      </x:c>
      <x:c r="B101" s="28" t="str">
        <x:v>Treasury forward CPI — Year 8</x:v>
      </x:c>
      <x:c r="C101" s="28" t="str">
        <x:v>%</x:v>
      </x:c>
      <x:c r="D101" s="491" t="n">
        <x:v>0.0196</x:v>
      </x:c>
      <x:c r="E101" s="491" t="n">
        <x:v>0.0196</x:v>
      </x:c>
      <x:c r="F101" s="491" t="n">
        <x:v>0.0196</x:v>
      </x:c>
      <x:c r="G101" s="28" t="str">
        <x:v>S26</x:v>
      </x:c>
      <x:c r="H101" s="28" t="str">
        <x:v>Official; auditor confirmation pending</x:v>
      </x:c>
      <x:c r="I101" s="28" t="str">
        <x:v>30 June 2026 accounting-valuation curve.</x:v>
      </x:c>
      <x:c r="J101" s="339"/>
      <x:c r="K101" s="339"/>
      <x:c r="L101" s="339"/>
      <x:c r="M101" s="339"/>
      <x:c r="N101" s="339"/>
      <x:c r="O101" s="339"/>
      <x:c r="P101" s="339"/>
      <x:c r="Q101" s="339"/>
      <x:c r="R101" s="339"/>
      <x:c r="S101" s="339"/>
      <x:c r="T101" s="339"/>
      <x:c r="U101" s="1194"/>
      <x:c r="V101" s="1194"/>
      <x:c r="W101" s="1194"/>
      <x:c r="X101" s="1194"/>
      <x:c r="Y101" s="339"/>
      <x:c r="Z101" s="339"/>
    </x:row>
    <x:row r="102">
      <x:c r="A102" s="28" t="str">
        <x:v>Treasury curve</x:v>
      </x:c>
      <x:c r="B102" s="28" t="str">
        <x:v>Treasury forward CPI — Year 9</x:v>
      </x:c>
      <x:c r="C102" s="28" t="str">
        <x:v>%</x:v>
      </x:c>
      <x:c r="D102" s="491" t="n">
        <x:v>0.0196</x:v>
      </x:c>
      <x:c r="E102" s="491" t="n">
        <x:v>0.0196</x:v>
      </x:c>
      <x:c r="F102" s="491" t="n">
        <x:v>0.0196</x:v>
      </x:c>
      <x:c r="G102" s="28" t="str">
        <x:v>S26</x:v>
      </x:c>
      <x:c r="H102" s="28" t="str">
        <x:v>Official; auditor confirmation pending</x:v>
      </x:c>
      <x:c r="I102" s="28" t="str">
        <x:v>30 June 2026 accounting-valuation curve.</x:v>
      </x:c>
      <x:c r="J102" s="339"/>
      <x:c r="K102" s="339"/>
      <x:c r="L102" s="339"/>
      <x:c r="M102" s="339"/>
      <x:c r="N102" s="339"/>
      <x:c r="O102" s="339"/>
      <x:c r="P102" s="339"/>
      <x:c r="Q102" s="339"/>
      <x:c r="R102" s="339"/>
      <x:c r="S102" s="339"/>
      <x:c r="T102" s="339"/>
      <x:c r="U102" s="1194"/>
      <x:c r="V102" s="1194"/>
      <x:c r="W102" s="1194"/>
      <x:c r="X102" s="1194"/>
      <x:c r="Y102" s="339"/>
      <x:c r="Z102" s="339"/>
    </x:row>
    <x:row r="103">
      <x:c r="A103" s="28" t="str">
        <x:v>Treasury curve</x:v>
      </x:c>
      <x:c r="B103" s="28" t="str">
        <x:v>Treasury forward CPI — Year 10</x:v>
      </x:c>
      <x:c r="C103" s="28" t="str">
        <x:v>%</x:v>
      </x:c>
      <x:c r="D103" s="491" t="n">
        <x:v>0.0196</x:v>
      </x:c>
      <x:c r="E103" s="491" t="n">
        <x:v>0.0196</x:v>
      </x:c>
      <x:c r="F103" s="491" t="n">
        <x:v>0.0196</x:v>
      </x:c>
      <x:c r="G103" s="28" t="str">
        <x:v>S26</x:v>
      </x:c>
      <x:c r="H103" s="28" t="str">
        <x:v>Official; auditor confirmation pending</x:v>
      </x:c>
      <x:c r="I103" s="28" t="str">
        <x:v>30 June 2026 accounting-valuation curve.</x:v>
      </x:c>
      <x:c r="J103" s="339"/>
      <x:c r="K103" s="339"/>
      <x:c r="L103" s="339"/>
      <x:c r="M103" s="339"/>
      <x:c r="N103" s="339"/>
      <x:c r="O103" s="339"/>
      <x:c r="P103" s="339"/>
      <x:c r="Q103" s="339"/>
      <x:c r="R103" s="339"/>
      <x:c r="S103" s="339"/>
      <x:c r="T103" s="339"/>
      <x:c r="U103" s="1194"/>
      <x:c r="V103" s="1194"/>
      <x:c r="W103" s="1194"/>
      <x:c r="X103" s="1194"/>
      <x:c r="Y103" s="339"/>
      <x:c r="Z103" s="339"/>
    </x:row>
    <x:row r="104">
      <x:c r="A104" s="28" t="str">
        <x:v>Treasury curve</x:v>
      </x:c>
      <x:c r="B104" s="28" t="str">
        <x:v>Treasury forward CPI — Year 11</x:v>
      </x:c>
      <x:c r="C104" s="28" t="str">
        <x:v>%</x:v>
      </x:c>
      <x:c r="D104" s="491" t="n">
        <x:v>0.0196</x:v>
      </x:c>
      <x:c r="E104" s="491" t="n">
        <x:v>0.0196</x:v>
      </x:c>
      <x:c r="F104" s="491" t="n">
        <x:v>0.0196</x:v>
      </x:c>
      <x:c r="G104" s="28" t="str">
        <x:v>S26</x:v>
      </x:c>
      <x:c r="H104" s="28" t="str">
        <x:v>Official; auditor confirmation pending</x:v>
      </x:c>
      <x:c r="I104" s="28" t="str">
        <x:v>30 June 2026 accounting-valuation curve.</x:v>
      </x:c>
      <x:c r="J104" s="339"/>
      <x:c r="K104" s="339"/>
      <x:c r="L104" s="339"/>
      <x:c r="M104" s="339"/>
      <x:c r="N104" s="339"/>
      <x:c r="O104" s="339"/>
      <x:c r="P104" s="339"/>
      <x:c r="Q104" s="339"/>
      <x:c r="R104" s="339"/>
      <x:c r="S104" s="339"/>
      <x:c r="T104" s="339"/>
      <x:c r="U104" s="1194"/>
      <x:c r="V104" s="1194"/>
      <x:c r="W104" s="1194"/>
      <x:c r="X104" s="1194"/>
      <x:c r="Y104" s="339"/>
      <x:c r="Z104" s="339"/>
    </x:row>
    <x:row r="105">
      <x:c r="A105" s="28" t="str">
        <x:v>Treasury curve</x:v>
      </x:c>
      <x:c r="B105" s="28" t="str">
        <x:v>Treasury forward CPI — Year 12</x:v>
      </x:c>
      <x:c r="C105" s="28" t="str">
        <x:v>%</x:v>
      </x:c>
      <x:c r="D105" s="491" t="n">
        <x:v>0.0196</x:v>
      </x:c>
      <x:c r="E105" s="491" t="n">
        <x:v>0.0196</x:v>
      </x:c>
      <x:c r="F105" s="491" t="n">
        <x:v>0.0196</x:v>
      </x:c>
      <x:c r="G105" s="28" t="str">
        <x:v>S26</x:v>
      </x:c>
      <x:c r="H105" s="28" t="str">
        <x:v>Official; auditor confirmation pending</x:v>
      </x:c>
      <x:c r="I105" s="28" t="str">
        <x:v>30 June 2026 accounting-valuation curve.</x:v>
      </x:c>
      <x:c r="J105" s="339"/>
      <x:c r="K105" s="339"/>
      <x:c r="L105" s="339"/>
      <x:c r="M105" s="339"/>
      <x:c r="N105" s="339"/>
      <x:c r="O105" s="339"/>
      <x:c r="P105" s="339"/>
      <x:c r="Q105" s="339"/>
      <x:c r="R105" s="339"/>
      <x:c r="S105" s="339"/>
      <x:c r="T105" s="339"/>
      <x:c r="U105" s="1194"/>
      <x:c r="V105" s="1194"/>
      <x:c r="W105" s="1194"/>
      <x:c r="X105" s="1194"/>
      <x:c r="Y105" s="339"/>
      <x:c r="Z105" s="339"/>
    </x:row>
    <x:row r="106">
      <x:c r="A106" s="28" t="str">
        <x:v>Treasury curve</x:v>
      </x:c>
      <x:c r="B106" s="28" t="str">
        <x:v>Treasury forward CPI — Year 13</x:v>
      </x:c>
      <x:c r="C106" s="28" t="str">
        <x:v>%</x:v>
      </x:c>
      <x:c r="D106" s="491" t="n">
        <x:v>0.0196</x:v>
      </x:c>
      <x:c r="E106" s="491" t="n">
        <x:v>0.0196</x:v>
      </x:c>
      <x:c r="F106" s="491" t="n">
        <x:v>0.0196</x:v>
      </x:c>
      <x:c r="G106" s="28" t="str">
        <x:v>S26</x:v>
      </x:c>
      <x:c r="H106" s="28" t="str">
        <x:v>Official; auditor confirmation pending</x:v>
      </x:c>
      <x:c r="I106" s="28" t="str">
        <x:v>30 June 2026 accounting-valuation curve.</x:v>
      </x:c>
      <x:c r="J106" s="339"/>
      <x:c r="K106" s="339"/>
      <x:c r="L106" s="339"/>
      <x:c r="M106" s="339"/>
      <x:c r="N106" s="339"/>
      <x:c r="O106" s="339"/>
      <x:c r="P106" s="339"/>
      <x:c r="Q106" s="339"/>
      <x:c r="R106" s="339"/>
      <x:c r="S106" s="339"/>
      <x:c r="T106" s="339"/>
      <x:c r="U106" s="1194"/>
      <x:c r="V106" s="1194"/>
      <x:c r="W106" s="1194"/>
      <x:c r="X106" s="1194"/>
      <x:c r="Y106" s="339"/>
      <x:c r="Z106" s="339"/>
    </x:row>
    <x:row r="107">
      <x:c r="A107" s="28" t="str">
        <x:v>Treasury curve</x:v>
      </x:c>
      <x:c r="B107" s="28" t="str">
        <x:v>Treasury forward CPI — Year 14</x:v>
      </x:c>
      <x:c r="C107" s="28" t="str">
        <x:v>%</x:v>
      </x:c>
      <x:c r="D107" s="491" t="n">
        <x:v>0.0196</x:v>
      </x:c>
      <x:c r="E107" s="491" t="n">
        <x:v>0.0196</x:v>
      </x:c>
      <x:c r="F107" s="491" t="n">
        <x:v>0.0196</x:v>
      </x:c>
      <x:c r="G107" s="28" t="str">
        <x:v>S26</x:v>
      </x:c>
      <x:c r="H107" s="28" t="str">
        <x:v>Official; auditor confirmation pending</x:v>
      </x:c>
      <x:c r="I107" s="28" t="str">
        <x:v>30 June 2026 accounting-valuation curve.</x:v>
      </x:c>
      <x:c r="J107" s="339"/>
      <x:c r="K107" s="339"/>
      <x:c r="L107" s="339"/>
      <x:c r="M107" s="339"/>
      <x:c r="N107" s="339"/>
      <x:c r="O107" s="339"/>
      <x:c r="P107" s="339"/>
      <x:c r="Q107" s="339"/>
      <x:c r="R107" s="339"/>
      <x:c r="S107" s="339"/>
      <x:c r="T107" s="339"/>
      <x:c r="U107" s="1194"/>
      <x:c r="V107" s="1194"/>
      <x:c r="W107" s="1194"/>
      <x:c r="X107" s="1194"/>
      <x:c r="Y107" s="339"/>
      <x:c r="Z107" s="339"/>
    </x:row>
    <x:row r="108">
      <x:c r="A108" s="28" t="str">
        <x:v>Treasury curve</x:v>
      </x:c>
      <x:c r="B108" s="28" t="str">
        <x:v>Treasury forward CPI — Year 15</x:v>
      </x:c>
      <x:c r="C108" s="28" t="str">
        <x:v>%</x:v>
      </x:c>
      <x:c r="D108" s="491" t="n">
        <x:v>0.0196</x:v>
      </x:c>
      <x:c r="E108" s="491" t="n">
        <x:v>0.0196</x:v>
      </x:c>
      <x:c r="F108" s="491" t="n">
        <x:v>0.0196</x:v>
      </x:c>
      <x:c r="G108" s="28" t="str">
        <x:v>S26</x:v>
      </x:c>
      <x:c r="H108" s="28" t="str">
        <x:v>Official; auditor confirmation pending</x:v>
      </x:c>
      <x:c r="I108" s="28" t="str">
        <x:v>30 June 2026 accounting-valuation curve.</x:v>
      </x:c>
      <x:c r="J108" s="339"/>
      <x:c r="K108" s="339"/>
      <x:c r="L108" s="339"/>
      <x:c r="M108" s="339"/>
      <x:c r="N108" s="339"/>
      <x:c r="O108" s="339"/>
      <x:c r="P108" s="339"/>
      <x:c r="Q108" s="339"/>
      <x:c r="R108" s="339"/>
      <x:c r="S108" s="339"/>
      <x:c r="T108" s="339"/>
      <x:c r="U108" s="1194"/>
      <x:c r="V108" s="1194"/>
      <x:c r="W108" s="1194"/>
      <x:c r="X108" s="1194"/>
      <x:c r="Y108" s="339"/>
      <x:c r="Z108" s="339"/>
    </x:row>
    <x:row r="109">
      <x:c r="A109" s="28" t="str">
        <x:v>Treasury curve</x:v>
      </x:c>
      <x:c r="B109" s="28" t="str">
        <x:v>Treasury risk-free forward rate — Year 1</x:v>
      </x:c>
      <x:c r="C109" s="28" t="str">
        <x:v>%</x:v>
      </x:c>
      <x:c r="D109" s="491" t="n">
        <x:v>0.0297</x:v>
      </x:c>
      <x:c r="E109" s="491" t="n">
        <x:v>0.0297</x:v>
      </x:c>
      <x:c r="F109" s="491" t="n">
        <x:v>0.0297</x:v>
      </x:c>
      <x:c r="G109" s="28" t="str">
        <x:v>S26</x:v>
      </x:c>
      <x:c r="H109" s="28" t="str">
        <x:v>Official; auditor confirmation pending</x:v>
      </x:c>
      <x:c r="I109" s="28" t="str">
        <x:v>30 June 2026 accounting-valuation curve.</x:v>
      </x:c>
      <x:c r="J109" s="339"/>
      <x:c r="K109" s="339"/>
      <x:c r="L109" s="339"/>
      <x:c r="M109" s="339"/>
      <x:c r="N109" s="339"/>
      <x:c r="O109" s="339"/>
      <x:c r="P109" s="339"/>
      <x:c r="Q109" s="339"/>
      <x:c r="R109" s="339"/>
      <x:c r="S109" s="339"/>
      <x:c r="T109" s="339"/>
      <x:c r="U109" s="1194"/>
      <x:c r="V109" s="1194"/>
      <x:c r="W109" s="1194"/>
      <x:c r="X109" s="1194"/>
      <x:c r="Y109" s="339"/>
      <x:c r="Z109" s="339"/>
    </x:row>
    <x:row r="110">
      <x:c r="A110" s="28" t="str">
        <x:v>Treasury curve</x:v>
      </x:c>
      <x:c r="B110" s="28" t="str">
        <x:v>Treasury risk-free forward rate — Year 2</x:v>
      </x:c>
      <x:c r="C110" s="28" t="str">
        <x:v>%</x:v>
      </x:c>
      <x:c r="D110" s="491" t="n">
        <x:v>0.0375</x:v>
      </x:c>
      <x:c r="E110" s="491" t="n">
        <x:v>0.0375</x:v>
      </x:c>
      <x:c r="F110" s="491" t="n">
        <x:v>0.0375</x:v>
      </x:c>
      <x:c r="G110" s="28" t="str">
        <x:v>S26</x:v>
      </x:c>
      <x:c r="H110" s="28" t="str">
        <x:v>Official; auditor confirmation pending</x:v>
      </x:c>
      <x:c r="I110" s="28" t="str">
        <x:v>30 June 2026 accounting-valuation curve.</x:v>
      </x:c>
      <x:c r="J110" s="339"/>
      <x:c r="K110" s="339"/>
      <x:c r="L110" s="339"/>
      <x:c r="M110" s="339"/>
      <x:c r="N110" s="339"/>
      <x:c r="O110" s="339"/>
      <x:c r="P110" s="339"/>
      <x:c r="Q110" s="339"/>
      <x:c r="R110" s="339"/>
      <x:c r="S110" s="339"/>
      <x:c r="T110" s="339"/>
      <x:c r="U110" s="1194"/>
      <x:c r="V110" s="1194"/>
      <x:c r="W110" s="1194"/>
      <x:c r="X110" s="1194"/>
      <x:c r="Y110" s="339"/>
      <x:c r="Z110" s="339"/>
    </x:row>
    <x:row r="111">
      <x:c r="A111" s="28" t="str">
        <x:v>Treasury curve</x:v>
      </x:c>
      <x:c r="B111" s="28" t="str">
        <x:v>Treasury risk-free forward rate — Year 3</x:v>
      </x:c>
      <x:c r="C111" s="28" t="str">
        <x:v>%</x:v>
      </x:c>
      <x:c r="D111" s="491" t="n">
        <x:v>0.04</x:v>
      </x:c>
      <x:c r="E111" s="491" t="n">
        <x:v>0.04</x:v>
      </x:c>
      <x:c r="F111" s="491" t="n">
        <x:v>0.04</x:v>
      </x:c>
      <x:c r="G111" s="28" t="str">
        <x:v>S26</x:v>
      </x:c>
      <x:c r="H111" s="28" t="str">
        <x:v>Official; auditor confirmation pending</x:v>
      </x:c>
      <x:c r="I111" s="28" t="str">
        <x:v>30 June 2026 accounting-valuation curve.</x:v>
      </x:c>
      <x:c r="J111" s="339"/>
      <x:c r="K111" s="339"/>
      <x:c r="L111" s="339"/>
      <x:c r="M111" s="339"/>
      <x:c r="N111" s="339"/>
      <x:c r="O111" s="339"/>
      <x:c r="P111" s="339"/>
      <x:c r="Q111" s="339"/>
      <x:c r="R111" s="339"/>
      <x:c r="S111" s="339"/>
      <x:c r="T111" s="339"/>
      <x:c r="U111" s="1194"/>
      <x:c r="V111" s="1194"/>
      <x:c r="W111" s="1194"/>
      <x:c r="X111" s="1194"/>
      <x:c r="Y111" s="339"/>
      <x:c r="Z111" s="339"/>
    </x:row>
    <x:row r="112">
      <x:c r="A112" s="28" t="str">
        <x:v>Treasury curve</x:v>
      </x:c>
      <x:c r="B112" s="28" t="str">
        <x:v>Treasury risk-free forward rate — Year 4</x:v>
      </x:c>
      <x:c r="C112" s="28" t="str">
        <x:v>%</x:v>
      </x:c>
      <x:c r="D112" s="491" t="n">
        <x:v>0.0427</x:v>
      </x:c>
      <x:c r="E112" s="491" t="n">
        <x:v>0.0427</x:v>
      </x:c>
      <x:c r="F112" s="491" t="n">
        <x:v>0.0427</x:v>
      </x:c>
      <x:c r="G112" s="28" t="str">
        <x:v>S26</x:v>
      </x:c>
      <x:c r="H112" s="28" t="str">
        <x:v>Official; auditor confirmation pending</x:v>
      </x:c>
      <x:c r="I112" s="28" t="str">
        <x:v>30 June 2026 accounting-valuation curve.</x:v>
      </x:c>
      <x:c r="J112" s="339"/>
      <x:c r="K112" s="339"/>
      <x:c r="L112" s="339"/>
      <x:c r="M112" s="339"/>
      <x:c r="N112" s="339"/>
      <x:c r="O112" s="339"/>
      <x:c r="P112" s="339"/>
      <x:c r="Q112" s="339"/>
      <x:c r="R112" s="339"/>
      <x:c r="S112" s="339"/>
      <x:c r="T112" s="339"/>
      <x:c r="U112" s="1194"/>
      <x:c r="V112" s="1194"/>
      <x:c r="W112" s="1194"/>
      <x:c r="X112" s="1194"/>
      <x:c r="Y112" s="339"/>
      <x:c r="Z112" s="339"/>
    </x:row>
    <x:row r="113">
      <x:c r="A113" s="28" t="str">
        <x:v>Treasury curve</x:v>
      </x:c>
      <x:c r="B113" s="28" t="str">
        <x:v>Treasury risk-free forward rate — Year 5</x:v>
      </x:c>
      <x:c r="C113" s="28" t="str">
        <x:v>%</x:v>
      </x:c>
      <x:c r="D113" s="491" t="n">
        <x:v>0.0454</x:v>
      </x:c>
      <x:c r="E113" s="491" t="n">
        <x:v>0.0454</x:v>
      </x:c>
      <x:c r="F113" s="491" t="n">
        <x:v>0.0454</x:v>
      </x:c>
      <x:c r="G113" s="28" t="str">
        <x:v>S26</x:v>
      </x:c>
      <x:c r="H113" s="28" t="str">
        <x:v>Official; auditor confirmation pending</x:v>
      </x:c>
      <x:c r="I113" s="28" t="str">
        <x:v>30 June 2026 accounting-valuation curve.</x:v>
      </x:c>
      <x:c r="J113" s="339"/>
      <x:c r="K113" s="339"/>
      <x:c r="L113" s="339"/>
      <x:c r="M113" s="339"/>
      <x:c r="N113" s="339"/>
      <x:c r="O113" s="339"/>
      <x:c r="P113" s="339"/>
      <x:c r="Q113" s="339"/>
      <x:c r="R113" s="339"/>
      <x:c r="S113" s="339"/>
      <x:c r="T113" s="339"/>
      <x:c r="U113" s="1194"/>
      <x:c r="V113" s="1194"/>
      <x:c r="W113" s="1194"/>
      <x:c r="X113" s="1194"/>
      <x:c r="Y113" s="339"/>
      <x:c r="Z113" s="339"/>
    </x:row>
    <x:row r="114">
      <x:c r="A114" s="28" t="str">
        <x:v>Treasury curve</x:v>
      </x:c>
      <x:c r="B114" s="28" t="str">
        <x:v>Treasury risk-free forward rate — Year 6</x:v>
      </x:c>
      <x:c r="C114" s="28" t="str">
        <x:v>%</x:v>
      </x:c>
      <x:c r="D114" s="491" t="n">
        <x:v>0.0482</x:v>
      </x:c>
      <x:c r="E114" s="491" t="n">
        <x:v>0.0482</x:v>
      </x:c>
      <x:c r="F114" s="491" t="n">
        <x:v>0.0482</x:v>
      </x:c>
      <x:c r="G114" s="28" t="str">
        <x:v>S26</x:v>
      </x:c>
      <x:c r="H114" s="28" t="str">
        <x:v>Official; auditor confirmation pending</x:v>
      </x:c>
      <x:c r="I114" s="28" t="str">
        <x:v>30 June 2026 accounting-valuation curve.</x:v>
      </x:c>
      <x:c r="J114" s="339"/>
      <x:c r="K114" s="339"/>
      <x:c r="L114" s="339"/>
      <x:c r="M114" s="339"/>
      <x:c r="N114" s="339"/>
      <x:c r="O114" s="339"/>
      <x:c r="P114" s="339"/>
      <x:c r="Q114" s="339"/>
      <x:c r="R114" s="339"/>
      <x:c r="S114" s="339"/>
      <x:c r="T114" s="339"/>
      <x:c r="U114" s="1194"/>
      <x:c r="V114" s="1194"/>
      <x:c r="W114" s="1194"/>
      <x:c r="X114" s="1194"/>
      <x:c r="Y114" s="339"/>
      <x:c r="Z114" s="339"/>
    </x:row>
    <x:row r="115">
      <x:c r="A115" s="28" t="str">
        <x:v>Treasury curve</x:v>
      </x:c>
      <x:c r="B115" s="28" t="str">
        <x:v>Treasury risk-free forward rate — Year 7</x:v>
      </x:c>
      <x:c r="C115" s="28" t="str">
        <x:v>%</x:v>
      </x:c>
      <x:c r="D115" s="491" t="n">
        <x:v>0.0496</x:v>
      </x:c>
      <x:c r="E115" s="491" t="n">
        <x:v>0.0496</x:v>
      </x:c>
      <x:c r="F115" s="491" t="n">
        <x:v>0.0496</x:v>
      </x:c>
      <x:c r="G115" s="28" t="str">
        <x:v>S26</x:v>
      </x:c>
      <x:c r="H115" s="28" t="str">
        <x:v>Official; auditor confirmation pending</x:v>
      </x:c>
      <x:c r="I115" s="28" t="str">
        <x:v>30 June 2026 accounting-valuation curve.</x:v>
      </x:c>
      <x:c r="J115" s="339"/>
      <x:c r="K115" s="339"/>
      <x:c r="L115" s="339"/>
      <x:c r="M115" s="339"/>
      <x:c r="N115" s="339"/>
      <x:c r="O115" s="339"/>
      <x:c r="P115" s="339"/>
      <x:c r="Q115" s="339"/>
      <x:c r="R115" s="339"/>
      <x:c r="S115" s="339"/>
      <x:c r="T115" s="339"/>
      <x:c r="U115" s="1194"/>
      <x:c r="V115" s="1194"/>
      <x:c r="W115" s="1194"/>
      <x:c r="X115" s="1194"/>
      <x:c r="Y115" s="339"/>
      <x:c r="Z115" s="339"/>
    </x:row>
    <x:row r="116">
      <x:c r="A116" s="28" t="str">
        <x:v>Treasury curve</x:v>
      </x:c>
      <x:c r="B116" s="28" t="str">
        <x:v>Treasury risk-free forward rate — Year 8</x:v>
      </x:c>
      <x:c r="C116" s="28" t="str">
        <x:v>%</x:v>
      </x:c>
      <x:c r="D116" s="491" t="n">
        <x:v>0.0506</x:v>
      </x:c>
      <x:c r="E116" s="491" t="n">
        <x:v>0.0506</x:v>
      </x:c>
      <x:c r="F116" s="491" t="n">
        <x:v>0.0506</x:v>
      </x:c>
      <x:c r="G116" s="28" t="str">
        <x:v>S26</x:v>
      </x:c>
      <x:c r="H116" s="28" t="str">
        <x:v>Official; auditor confirmation pending</x:v>
      </x:c>
      <x:c r="I116" s="28" t="str">
        <x:v>30 June 2026 accounting-valuation curve.</x:v>
      </x:c>
      <x:c r="J116" s="339"/>
      <x:c r="K116" s="339"/>
      <x:c r="L116" s="339"/>
      <x:c r="M116" s="339"/>
      <x:c r="N116" s="339"/>
      <x:c r="O116" s="339"/>
      <x:c r="P116" s="339"/>
      <x:c r="Q116" s="339"/>
      <x:c r="R116" s="339"/>
      <x:c r="S116" s="339"/>
      <x:c r="T116" s="339"/>
      <x:c r="U116" s="1194"/>
      <x:c r="V116" s="1194"/>
      <x:c r="W116" s="1194"/>
      <x:c r="X116" s="1194"/>
      <x:c r="Y116" s="339"/>
      <x:c r="Z116" s="339"/>
    </x:row>
    <x:row r="117">
      <x:c r="A117" s="28" t="str">
        <x:v>Treasury curve</x:v>
      </x:c>
      <x:c r="B117" s="28" t="str">
        <x:v>Treasury risk-free forward rate — Year 9</x:v>
      </x:c>
      <x:c r="C117" s="28" t="str">
        <x:v>%</x:v>
      </x:c>
      <x:c r="D117" s="491" t="n">
        <x:v>0.0518</x:v>
      </x:c>
      <x:c r="E117" s="491" t="n">
        <x:v>0.0518</x:v>
      </x:c>
      <x:c r="F117" s="491" t="n">
        <x:v>0.0518</x:v>
      </x:c>
      <x:c r="G117" s="28" t="str">
        <x:v>S26</x:v>
      </x:c>
      <x:c r="H117" s="28" t="str">
        <x:v>Official; auditor confirmation pending</x:v>
      </x:c>
      <x:c r="I117" s="28" t="str">
        <x:v>30 June 2026 accounting-valuation curve.</x:v>
      </x:c>
      <x:c r="J117" s="339"/>
      <x:c r="K117" s="339"/>
      <x:c r="L117" s="339"/>
      <x:c r="M117" s="339"/>
      <x:c r="N117" s="339"/>
      <x:c r="O117" s="339"/>
      <x:c r="P117" s="339"/>
      <x:c r="Q117" s="339"/>
      <x:c r="R117" s="339"/>
      <x:c r="S117" s="339"/>
      <x:c r="T117" s="339"/>
      <x:c r="U117" s="1194"/>
      <x:c r="V117" s="1194"/>
      <x:c r="W117" s="1194"/>
      <x:c r="X117" s="1194"/>
      <x:c r="Y117" s="339"/>
      <x:c r="Z117" s="339"/>
    </x:row>
    <x:row r="118">
      <x:c r="A118" s="28" t="str">
        <x:v>Treasury curve</x:v>
      </x:c>
      <x:c r="B118" s="28" t="str">
        <x:v>Treasury risk-free forward rate — Year 10</x:v>
      </x:c>
      <x:c r="C118" s="28" t="str">
        <x:v>%</x:v>
      </x:c>
      <x:c r="D118" s="491" t="n">
        <x:v>0.0531</x:v>
      </x:c>
      <x:c r="E118" s="491" t="n">
        <x:v>0.0531</x:v>
      </x:c>
      <x:c r="F118" s="491" t="n">
        <x:v>0.0531</x:v>
      </x:c>
      <x:c r="G118" s="28" t="str">
        <x:v>S26</x:v>
      </x:c>
      <x:c r="H118" s="28" t="str">
        <x:v>Official; auditor confirmation pending</x:v>
      </x:c>
      <x:c r="I118" s="28" t="str">
        <x:v>30 June 2026 accounting-valuation curve.</x:v>
      </x:c>
      <x:c r="J118" s="339"/>
      <x:c r="K118" s="339"/>
      <x:c r="L118" s="339"/>
      <x:c r="M118" s="339"/>
      <x:c r="N118" s="339"/>
      <x:c r="O118" s="339"/>
      <x:c r="P118" s="339"/>
      <x:c r="Q118" s="339"/>
      <x:c r="R118" s="339"/>
      <x:c r="S118" s="339"/>
      <x:c r="T118" s="339"/>
      <x:c r="U118" s="1194"/>
      <x:c r="V118" s="1194"/>
      <x:c r="W118" s="1194"/>
      <x:c r="X118" s="1194"/>
      <x:c r="Y118" s="339"/>
      <x:c r="Z118" s="339"/>
    </x:row>
    <x:row r="119">
      <x:c r="A119" s="28" t="str">
        <x:v>Treasury curve</x:v>
      </x:c>
      <x:c r="B119" s="28" t="str">
        <x:v>Treasury risk-free forward rate — Year 11</x:v>
      </x:c>
      <x:c r="C119" s="28" t="str">
        <x:v>%</x:v>
      </x:c>
      <x:c r="D119" s="491" t="n">
        <x:v>0.0545</x:v>
      </x:c>
      <x:c r="E119" s="491" t="n">
        <x:v>0.0545</x:v>
      </x:c>
      <x:c r="F119" s="491" t="n">
        <x:v>0.0545</x:v>
      </x:c>
      <x:c r="G119" s="28" t="str">
        <x:v>S26</x:v>
      </x:c>
      <x:c r="H119" s="28" t="str">
        <x:v>Official; auditor confirmation pending</x:v>
      </x:c>
      <x:c r="I119" s="28" t="str">
        <x:v>30 June 2026 accounting-valuation curve.</x:v>
      </x:c>
      <x:c r="J119" s="339"/>
      <x:c r="K119" s="339"/>
      <x:c r="L119" s="339"/>
      <x:c r="M119" s="339"/>
      <x:c r="N119" s="339"/>
      <x:c r="O119" s="339"/>
      <x:c r="P119" s="339"/>
      <x:c r="Q119" s="339"/>
      <x:c r="R119" s="339"/>
      <x:c r="S119" s="339"/>
      <x:c r="T119" s="339"/>
      <x:c r="U119" s="1194"/>
      <x:c r="V119" s="1194"/>
      <x:c r="W119" s="1194"/>
      <x:c r="X119" s="1194"/>
      <x:c r="Y119" s="339"/>
      <x:c r="Z119" s="339"/>
    </x:row>
    <x:row r="120">
      <x:c r="A120" s="28" t="str">
        <x:v>Treasury curve</x:v>
      </x:c>
      <x:c r="B120" s="28" t="str">
        <x:v>Treasury risk-free forward rate — Year 12</x:v>
      </x:c>
      <x:c r="C120" s="28" t="str">
        <x:v>%</x:v>
      </x:c>
      <x:c r="D120" s="491" t="n">
        <x:v>0.056</x:v>
      </x:c>
      <x:c r="E120" s="491" t="n">
        <x:v>0.056</x:v>
      </x:c>
      <x:c r="F120" s="491" t="n">
        <x:v>0.056</x:v>
      </x:c>
      <x:c r="G120" s="28" t="str">
        <x:v>S26</x:v>
      </x:c>
      <x:c r="H120" s="28" t="str">
        <x:v>Official; auditor confirmation pending</x:v>
      </x:c>
      <x:c r="I120" s="28" t="str">
        <x:v>30 June 2026 accounting-valuation curve.</x:v>
      </x:c>
      <x:c r="J120" s="339"/>
      <x:c r="K120" s="339"/>
      <x:c r="L120" s="339"/>
      <x:c r="M120" s="339"/>
      <x:c r="N120" s="339"/>
      <x:c r="O120" s="339"/>
      <x:c r="P120" s="339"/>
      <x:c r="Q120" s="339"/>
      <x:c r="R120" s="339"/>
      <x:c r="S120" s="339"/>
      <x:c r="T120" s="339"/>
      <x:c r="U120" s="1194"/>
      <x:c r="V120" s="1194"/>
      <x:c r="W120" s="1194"/>
      <x:c r="X120" s="1194"/>
      <x:c r="Y120" s="339"/>
      <x:c r="Z120" s="339"/>
    </x:row>
    <x:row r="121">
      <x:c r="A121" s="28" t="str">
        <x:v>Treasury curve</x:v>
      </x:c>
      <x:c r="B121" s="28" t="str">
        <x:v>Treasury risk-free forward rate — Year 13</x:v>
      </x:c>
      <x:c r="C121" s="28" t="str">
        <x:v>%</x:v>
      </x:c>
      <x:c r="D121" s="491" t="n">
        <x:v>0.0572</x:v>
      </x:c>
      <x:c r="E121" s="491" t="n">
        <x:v>0.0572</x:v>
      </x:c>
      <x:c r="F121" s="491" t="n">
        <x:v>0.0572</x:v>
      </x:c>
      <x:c r="G121" s="28" t="str">
        <x:v>S26</x:v>
      </x:c>
      <x:c r="H121" s="28" t="str">
        <x:v>Official; auditor confirmation pending</x:v>
      </x:c>
      <x:c r="I121" s="28" t="str">
        <x:v>30 June 2026 accounting-valuation curve.</x:v>
      </x:c>
      <x:c r="J121" s="339"/>
      <x:c r="K121" s="339"/>
      <x:c r="L121" s="339"/>
      <x:c r="M121" s="339"/>
      <x:c r="N121" s="339"/>
      <x:c r="O121" s="339"/>
      <x:c r="P121" s="339"/>
      <x:c r="Q121" s="339"/>
      <x:c r="R121" s="339"/>
      <x:c r="S121" s="339"/>
      <x:c r="T121" s="339"/>
      <x:c r="U121" s="1194"/>
      <x:c r="V121" s="1194"/>
      <x:c r="W121" s="1194"/>
      <x:c r="X121" s="1194"/>
      <x:c r="Y121" s="339"/>
      <x:c r="Z121" s="339"/>
    </x:row>
    <x:row r="122">
      <x:c r="A122" s="28" t="str">
        <x:v>Treasury curve</x:v>
      </x:c>
      <x:c r="B122" s="28" t="str">
        <x:v>Treasury risk-free forward rate — Year 14</x:v>
      </x:c>
      <x:c r="C122" s="28" t="str">
        <x:v>%</x:v>
      </x:c>
      <x:c r="D122" s="491" t="n">
        <x:v>0.058</x:v>
      </x:c>
      <x:c r="E122" s="491" t="n">
        <x:v>0.058</x:v>
      </x:c>
      <x:c r="F122" s="491" t="n">
        <x:v>0.058</x:v>
      </x:c>
      <x:c r="G122" s="28" t="str">
        <x:v>S26</x:v>
      </x:c>
      <x:c r="H122" s="28" t="str">
        <x:v>Official; auditor confirmation pending</x:v>
      </x:c>
      <x:c r="I122" s="28" t="str">
        <x:v>30 June 2026 accounting-valuation curve.</x:v>
      </x:c>
      <x:c r="J122" s="339"/>
      <x:c r="K122" s="339"/>
      <x:c r="L122" s="339"/>
      <x:c r="M122" s="339"/>
      <x:c r="N122" s="339"/>
      <x:c r="O122" s="339"/>
      <x:c r="P122" s="339"/>
      <x:c r="Q122" s="339"/>
      <x:c r="R122" s="339"/>
      <x:c r="S122" s="339"/>
      <x:c r="T122" s="339"/>
      <x:c r="U122" s="1194"/>
      <x:c r="V122" s="1194"/>
      <x:c r="W122" s="1194"/>
      <x:c r="X122" s="1194"/>
      <x:c r="Y122" s="339"/>
      <x:c r="Z122" s="339"/>
    </x:row>
    <x:row r="123">
      <x:c r="A123" s="28" t="str">
        <x:v>Treasury curve</x:v>
      </x:c>
      <x:c r="B123" s="28" t="str">
        <x:v>Treasury risk-free forward rate — Year 15</x:v>
      </x:c>
      <x:c r="C123" s="28" t="str">
        <x:v>%</x:v>
      </x:c>
      <x:c r="D123" s="491" t="n">
        <x:v>0.0584</x:v>
      </x:c>
      <x:c r="E123" s="491" t="n">
        <x:v>0.0584</x:v>
      </x:c>
      <x:c r="F123" s="491" t="n">
        <x:v>0.0584</x:v>
      </x:c>
      <x:c r="G123" s="28" t="str">
        <x:v>S26</x:v>
      </x:c>
      <x:c r="H123" s="28" t="str">
        <x:v>Official; auditor confirmation pending</x:v>
      </x:c>
      <x:c r="I123" s="28" t="str">
        <x:v>30 June 2026 accounting-valuation curve.</x:v>
      </x:c>
      <x:c r="J123" s="339"/>
      <x:c r="K123" s="339"/>
      <x:c r="L123" s="339"/>
      <x:c r="M123" s="339"/>
      <x:c r="N123" s="339"/>
      <x:c r="O123" s="339"/>
      <x:c r="P123" s="339"/>
      <x:c r="Q123" s="339"/>
      <x:c r="R123" s="339"/>
      <x:c r="S123" s="339"/>
      <x:c r="T123" s="339"/>
      <x:c r="U123" s="1194"/>
      <x:c r="V123" s="1194"/>
      <x:c r="W123" s="1194"/>
      <x:c r="X123" s="1194"/>
      <x:c r="Y123" s="339"/>
      <x:c r="Z123" s="339"/>
    </x:row>
    <x:row r="124">
      <x:c r="A124" s="498" t="str">
        <x:v>Justice sensitivity</x:v>
      </x:c>
      <x:c r="B124" s="498" t="str">
        <x:v>Headline evidence justice rate</x:v>
      </x:c>
      <x:c r="C124" s="496" t="str">
        <x:v>% of averted cases</x:v>
      </x:c>
      <x:c r="D124" s="497" t="n">
        <x:v>0</x:v>
      </x:c>
      <x:c r="E124" s="497" t="n">
        <x:v>0</x:v>
      </x:c>
      <x:c r="F124" s="497" t="n">
        <x:v>0</x:v>
      </x:c>
      <x:c r="G124" s="496" t="str">
        <x:v>S04;S05</x:v>
      </x:c>
      <x:c r="H124" s="496" t="str">
        <x:v>Evidence case</x:v>
      </x:c>
      <x:c r="I124" s="496" t="str">
        <x:v>Justice value remains zero in the headline evidence-based case.</x:v>
      </x:c>
      <x:c r="J124" s="339"/>
      <x:c r="K124" s="339"/>
      <x:c r="L124" s="339"/>
      <x:c r="M124" s="339"/>
      <x:c r="N124" s="339"/>
      <x:c r="O124" s="339"/>
      <x:c r="P124" s="339"/>
      <x:c r="Q124" s="339"/>
      <x:c r="R124" s="339"/>
      <x:c r="S124" s="339"/>
      <x:c r="T124" s="339"/>
      <x:c r="U124" s="1194"/>
      <x:c r="V124" s="1194"/>
      <x:c r="W124" s="1194"/>
      <x:c r="X124" s="1194"/>
      <x:c r="Y124" s="339"/>
      <x:c r="Z124" s="339"/>
    </x:row>
    <x:row r="125">
      <x:c r="A125" s="28" t="str">
        <x:v>Justice sensitivity</x:v>
      </x:c>
      <x:c r="B125" s="28" t="str">
        <x:v>Low justice sensitivity</x:v>
      </x:c>
      <x:c r="C125" s="28" t="str">
        <x:v>% of averted cases</x:v>
      </x:c>
      <x:c r="D125" s="493" t="n">
        <x:v>0.005</x:v>
      </x:c>
      <x:c r="E125" s="493" t="n">
        <x:v>0.005</x:v>
      </x:c>
      <x:c r="F125" s="493" t="n">
        <x:v>0.005</x:v>
      </x:c>
      <x:c r="G125" s="28" t="str">
        <x:v>A17</x:v>
      </x:c>
      <x:c r="H125" s="28" t="str">
        <x:v>Illustrative only</x:v>
      </x:c>
      <x:c r="I125" s="28" t="str">
        <x:v>Not a measured programme effect.</x:v>
      </x:c>
      <x:c r="J125" s="339"/>
      <x:c r="K125" s="339"/>
      <x:c r="L125" s="339"/>
      <x:c r="M125" s="339"/>
      <x:c r="N125" s="339"/>
      <x:c r="O125" s="339"/>
      <x:c r="P125" s="339"/>
      <x:c r="Q125" s="339"/>
      <x:c r="R125" s="339"/>
      <x:c r="S125" s="339"/>
      <x:c r="T125" s="339"/>
      <x:c r="U125" s="1194"/>
      <x:c r="V125" s="1194"/>
      <x:c r="W125" s="1194"/>
      <x:c r="X125" s="1194"/>
      <x:c r="Y125" s="339"/>
      <x:c r="Z125" s="339"/>
    </x:row>
    <x:row r="126">
      <x:c r="A126" s="28" t="str">
        <x:v>Justice sensitivity</x:v>
      </x:c>
      <x:c r="B126" s="28" t="str">
        <x:v>Central justice sensitivity</x:v>
      </x:c>
      <x:c r="C126" s="28" t="str">
        <x:v>% of averted cases</x:v>
      </x:c>
      <x:c r="D126" s="493" t="n">
        <x:v>0.01</x:v>
      </x:c>
      <x:c r="E126" s="493" t="n">
        <x:v>0.01</x:v>
      </x:c>
      <x:c r="F126" s="493" t="n">
        <x:v>0.01</x:v>
      </x:c>
      <x:c r="G126" s="28" t="str">
        <x:v>A17</x:v>
      </x:c>
      <x:c r="H126" s="28" t="str">
        <x:v>Illustrative only</x:v>
      </x:c>
      <x:c r="I126" s="28" t="str">
        <x:v>Not a measured programme effect.</x:v>
      </x:c>
      <x:c r="J126" s="339"/>
      <x:c r="K126" s="339"/>
      <x:c r="L126" s="339"/>
      <x:c r="M126" s="339"/>
      <x:c r="N126" s="339"/>
      <x:c r="O126" s="339"/>
      <x:c r="P126" s="339"/>
      <x:c r="Q126" s="339"/>
      <x:c r="R126" s="339"/>
      <x:c r="S126" s="339"/>
      <x:c r="T126" s="339"/>
      <x:c r="U126" s="1194"/>
      <x:c r="V126" s="1194"/>
      <x:c r="W126" s="1194"/>
      <x:c r="X126" s="1194"/>
      <x:c r="Y126" s="339"/>
      <x:c r="Z126" s="339"/>
    </x:row>
    <x:row r="127">
      <x:c r="A127" s="28" t="str">
        <x:v>Justice sensitivity</x:v>
      </x:c>
      <x:c r="B127" s="28" t="str">
        <x:v>High justice sensitivity</x:v>
      </x:c>
      <x:c r="C127" s="28" t="str">
        <x:v>% of averted cases</x:v>
      </x:c>
      <x:c r="D127" s="493" t="n">
        <x:v>0.02</x:v>
      </x:c>
      <x:c r="E127" s="493" t="n">
        <x:v>0.02</x:v>
      </x:c>
      <x:c r="F127" s="493" t="n">
        <x:v>0.02</x:v>
      </x:c>
      <x:c r="G127" s="28" t="str">
        <x:v>A17</x:v>
      </x:c>
      <x:c r="H127" s="28" t="str">
        <x:v>Illustrative only</x:v>
      </x:c>
      <x:c r="I127" s="28" t="str">
        <x:v>Not a measured programme effect.</x:v>
      </x:c>
      <x:c r="J127" s="339"/>
      <x:c r="K127" s="339"/>
      <x:c r="L127" s="339"/>
      <x:c r="M127" s="339"/>
      <x:c r="N127" s="339"/>
      <x:c r="O127" s="339"/>
      <x:c r="P127" s="339"/>
      <x:c r="Q127" s="339"/>
      <x:c r="R127" s="339"/>
      <x:c r="S127" s="339"/>
      <x:c r="T127" s="339"/>
      <x:c r="U127" s="1194"/>
      <x:c r="V127" s="1194"/>
      <x:c r="W127" s="1194"/>
      <x:c r="X127" s="1194"/>
      <x:c r="Y127" s="339"/>
      <x:c r="Z127" s="339"/>
    </x:row>
    <x:row r="128">
      <x:c r="A128" s="28" t="str">
        <x:v>Justice sensitivity</x:v>
      </x:c>
      <x:c r="B128" s="28" t="str">
        <x:v>Prisoner-years avoided per applicable case</x:v>
      </x:c>
      <x:c r="C128" s="28" t="str">
        <x:v>years</x:v>
      </x:c>
      <x:c r="D128" s="495" t="n">
        <x:v>1</x:v>
      </x:c>
      <x:c r="E128" s="495" t="n">
        <x:v>1</x:v>
      </x:c>
      <x:c r="F128" s="495" t="n">
        <x:v>1</x:v>
      </x:c>
      <x:c r="G128" s="28" t="str">
        <x:v>A17</x:v>
      </x:c>
      <x:c r="H128" s="28" t="str">
        <x:v>Illustrative only</x:v>
      </x:c>
      <x:c r="I128" s="28" t="str">
        <x:v>One sentenced prisoner-year for each applicable case.</x:v>
      </x:c>
      <x:c r="J128" s="339"/>
      <x:c r="K128" s="339"/>
      <x:c r="L128" s="339"/>
      <x:c r="M128" s="339"/>
      <x:c r="N128" s="339"/>
      <x:c r="O128" s="339"/>
      <x:c r="P128" s="339"/>
      <x:c r="Q128" s="339"/>
      <x:c r="R128" s="339"/>
      <x:c r="S128" s="339"/>
      <x:c r="T128" s="339"/>
      <x:c r="U128" s="1194"/>
      <x:c r="V128" s="1194"/>
      <x:c r="W128" s="1194"/>
      <x:c r="X128" s="1194"/>
      <x:c r="Y128" s="339"/>
      <x:c r="Z128" s="339"/>
    </x:row>
    <x:row r="129">
      <x:c r="A129" s="28" t="str">
        <x:v>Justice sensitivity</x:v>
      </x:c>
      <x:c r="B129" s="28" t="str">
        <x:v>CBAx sentenced-prisoner-year resource value</x:v>
      </x:c>
      <x:c r="C129" s="28" t="str">
        <x:v>NZD/year</x:v>
      </x:c>
      <x:c r="D129" s="48" t="n">
        <x:v>211350</x:v>
      </x:c>
      <x:c r="E129" s="48" t="n">
        <x:v>211350</x:v>
      </x:c>
      <x:c r="F129" s="48" t="n">
        <x:v>211350</x:v>
      </x:c>
      <x:c r="G129" s="28" t="str">
        <x:v>S21</x:v>
      </x:c>
      <x:c r="H129" s="28" t="str">
        <x:v>Official CBAx value</x:v>
      </x:c>
      <x:c r="I129" s="28" t="str">
        <x:v>Resource-value sensitivity; not necessarily a cashable marginal saving.</x:v>
      </x:c>
      <x:c r="J129" s="339"/>
      <x:c r="K129" s="339"/>
      <x:c r="L129" s="339"/>
      <x:c r="M129" s="339"/>
      <x:c r="N129" s="339"/>
      <x:c r="O129" s="339"/>
      <x:c r="P129" s="339"/>
      <x:c r="Q129" s="339"/>
      <x:c r="R129" s="339"/>
      <x:c r="S129" s="339"/>
      <x:c r="T129" s="339"/>
      <x:c r="U129" s="1194"/>
      <x:c r="V129" s="1194"/>
      <x:c r="W129" s="1194"/>
      <x:c r="X129" s="1194"/>
      <x:c r="Y129" s="339"/>
      <x:c r="Z129" s="339"/>
    </x:row>
    <x:row r="130">
      <x:c r="A130" s="28" t="str">
        <x:v>Justice sensitivity</x:v>
      </x:c>
      <x:c r="B130" s="28" t="str">
        <x:v>Corrections sentenced-prisoner annualised average cost</x:v>
      </x:c>
      <x:c r="C130" s="28" t="str">
        <x:v>NZD/year</x:v>
      </x:c>
      <x:c r="D130" s="48" t="n">
        <x:v>201480</x:v>
      </x:c>
      <x:c r="E130" s="48" t="n">
        <x:v>201480</x:v>
      </x:c>
      <x:c r="F130" s="48" t="n">
        <x:v>201480</x:v>
      </x:c>
      <x:c r="G130" s="28" t="str">
        <x:v>S31</x:v>
      </x:c>
      <x:c r="H130" s="28" t="str">
        <x:v>Official annual report</x:v>
      </x:c>
      <x:c r="I130" s="28" t="str">
        <x:v>$552 per person per day × 365; includes overhead and fixed costs.</x:v>
      </x:c>
      <x:c r="J130" s="339"/>
      <x:c r="K130" s="339"/>
      <x:c r="L130" s="339"/>
      <x:c r="M130" s="339"/>
      <x:c r="N130" s="339"/>
      <x:c r="O130" s="339"/>
      <x:c r="P130" s="339"/>
      <x:c r="Q130" s="339"/>
      <x:c r="R130" s="339"/>
      <x:c r="S130" s="339"/>
      <x:c r="T130" s="339"/>
      <x:c r="U130" s="1194"/>
      <x:c r="V130" s="1194"/>
      <x:c r="W130" s="1194"/>
      <x:c r="X130" s="1194"/>
      <x:c r="Y130" s="339"/>
      <x:c r="Z130" s="339"/>
    </x:row>
    <x:row r="131">
      <x:c r="A131" s="28" t="str">
        <x:v>Justice sensitivity</x:v>
      </x:c>
      <x:c r="B131" s="28" t="str">
        <x:v>Cashable Corrections saving rate</x:v>
      </x:c>
      <x:c r="C131" s="28" t="str">
        <x:v>% of resource value</x:v>
      </x:c>
      <x:c r="D131" s="491" t="n">
        <x:v>0</x:v>
      </x:c>
      <x:c r="E131" s="491" t="n">
        <x:v>0</x:v>
      </x:c>
      <x:c r="F131" s="491" t="n">
        <x:v>0</x:v>
      </x:c>
      <x:c r="G131" s="28" t="str">
        <x:v>S31</x:v>
      </x:c>
      <x:c r="H131" s="28" t="str">
        <x:v>Zero central</x:v>
      </x:c>
      <x:c r="I131" s="28" t="str">
        <x:v>Remain zero until a defensible marginal-cost estimate and capacity response are established.</x:v>
      </x:c>
      <x:c r="J131" s="339"/>
      <x:c r="K131" s="339"/>
      <x:c r="L131" s="339"/>
      <x:c r="M131" s="339"/>
      <x:c r="N131" s="339"/>
      <x:c r="O131" s="339"/>
      <x:c r="P131" s="339"/>
      <x:c r="Q131" s="339"/>
      <x:c r="R131" s="339"/>
      <x:c r="S131" s="339"/>
      <x:c r="T131" s="339"/>
      <x:c r="U131" s="1194"/>
      <x:c r="V131" s="1194"/>
      <x:c r="W131" s="1194"/>
      <x:c r="X131" s="1194"/>
      <x:c r="Y131" s="339"/>
      <x:c r="Z131" s="339"/>
    </x:row>
    <x:row r="132">
      <x:c r="A132" s="339" t="str">
        <x:v>Justice sensitivity</x:v>
      </x:c>
      <x:c r="B132" s="339" t="str">
        <x:v>Cashable Corrections saving rate</x:v>
      </x:c>
      <x:c r="C132" s="339" t="str">
        <x:v>% of resource value</x:v>
      </x:c>
      <x:c r="D132" s="339" t="n">
        <x:v>0</x:v>
      </x:c>
      <x:c r="E132" s="339" t="n">
        <x:v>0</x:v>
      </x:c>
      <x:c r="F132" s="339" t="n">
        <x:v>0</x:v>
      </x:c>
      <x:c r="G132" s="339" t="str">
        <x:v>S31</x:v>
      </x:c>
      <x:c r="H132" s="339" t="str">
        <x:v>Zero central</x:v>
      </x:c>
      <x:c r="I132" s="339" t="str">
        <x:v>Remain zero until a defensible marginal-cost estimate and capacity response are established.</x:v>
      </x:c>
      <x:c r="J132" s="339"/>
      <x:c r="K132" s="339"/>
      <x:c r="L132" s="339"/>
      <x:c r="M132" s="339"/>
      <x:c r="N132" s="339"/>
      <x:c r="O132" s="339"/>
      <x:c r="P132" s="339"/>
      <x:c r="Q132" s="339"/>
      <x:c r="R132" s="339"/>
      <x:c r="S132" s="339"/>
      <x:c r="T132" s="339"/>
      <x:c r="U132" s="1194"/>
      <x:c r="V132" s="1194"/>
      <x:c r="W132" s="1194"/>
      <x:c r="X132" s="1194"/>
      <x:c r="Y132" s="339"/>
      <x:c r="Z132" s="339"/>
    </x:row>
    <x:row r="133">
      <x:c r="A133" s="890" t="str">
        <x:v>Human capital</x:v>
      </x:c>
      <x:c r="B133" s="890" t="str">
        <x:v>Annual national entrant / exit cohort</x:v>
      </x:c>
      <x:c r="C133" s="889" t="str">
        <x:v>people</x:v>
      </x:c>
      <x:c r="D133" s="884" t="n">
        <x:f>D32/D33</x:f>
        <x:v>62348.6</x:v>
      </x:c>
      <x:c r="E133" s="884" t="n">
        <x:f>E32/E33</x:f>
        <x:v>62348.6</x:v>
      </x:c>
      <x:c r="F133" s="884" t="n">
        <x:f>F32/F33</x:f>
        <x:v>62348.6</x:v>
      </x:c>
      <x:c r="G133" s="889" t="str">
        <x:v>S08</x:v>
      </x:c>
      <x:c r="H133" s="889" t="str">
        <x:v>Calculated</x:v>
      </x:c>
      <x:c r="I133" s="889" t="str">
        <x:v>Eligible student stock divided by programme years.</x:v>
      </x:c>
      <x:c r="J133" s="339"/>
      <x:c r="K133" s="339"/>
      <x:c r="L133" s="339"/>
      <x:c r="M133" s="339"/>
      <x:c r="N133" s="339"/>
      <x:c r="O133" s="339"/>
      <x:c r="P133" s="339"/>
      <x:c r="Q133" s="339"/>
      <x:c r="R133" s="339"/>
      <x:c r="S133" s="339"/>
      <x:c r="T133" s="339"/>
      <x:c r="U133" s="1194"/>
      <x:c r="V133" s="1194"/>
      <x:c r="W133" s="1194"/>
      <x:c r="X133" s="1194"/>
      <x:c r="Y133" s="339"/>
      <x:c r="Z133" s="339"/>
    </x:row>
    <x:row r="134">
      <x:c r="A134" s="28" t="str">
        <x:v>Human capital</x:v>
      </x:c>
      <x:c r="B134" s="28" t="str">
        <x:v>Whole-cohort affected participant share</x:v>
      </x:c>
      <x:c r="C134" s="28" t="str">
        <x:v>% of broad cohort</x:v>
      </x:c>
      <x:c r="D134" s="885" t="n">
        <x:v>0.35</x:v>
      </x:c>
      <x:c r="E134" s="885" t="n">
        <x:v>0.5</x:v>
      </x:c>
      <x:c r="F134" s="885" t="n">
        <x:v>0.7</x:v>
      </x:c>
      <x:c r="G134" s="28" t="str">
        <x:v>A18</x:v>
      </x:c>
      <x:c r="H134" s="28" t="str">
        <x:v>Scenario assumption</x:v>
      </x:c>
      <x:c r="I134" s="28" t="str">
        <x:v>Does not assume the same effect for every participant.</x:v>
      </x:c>
      <x:c r="J134" s="339"/>
      <x:c r="K134" s="339"/>
      <x:c r="L134" s="339"/>
      <x:c r="M134" s="339"/>
      <x:c r="N134" s="339"/>
      <x:c r="O134" s="339"/>
      <x:c r="P134" s="339"/>
      <x:c r="Q134" s="339"/>
      <x:c r="R134" s="339"/>
      <x:c r="S134" s="339"/>
      <x:c r="T134" s="339"/>
      <x:c r="U134" s="1194"/>
      <x:c r="V134" s="1194"/>
      <x:c r="W134" s="1194"/>
      <x:c r="X134" s="1194"/>
      <x:c r="Y134" s="339"/>
      <x:c r="Z134" s="339"/>
    </x:row>
    <x:row r="135">
      <x:c r="A135" s="28" t="str">
        <x:v>Human capital</x:v>
      </x:c>
      <x:c r="B135" s="28" t="str">
        <x:v>Labour-market entry age</x:v>
      </x:c>
      <x:c r="C135" s="28" t="str">
        <x:v>age</x:v>
      </x:c>
      <x:c r="D135" s="886" t="n">
        <x:v>22</x:v>
      </x:c>
      <x:c r="E135" s="886" t="n">
        <x:v>21</x:v>
      </x:c>
      <x:c r="F135" s="886" t="n">
        <x:v>20</x:v>
      </x:c>
      <x:c r="G135" s="28" t="str">
        <x:v>A18</x:v>
      </x:c>
      <x:c r="H135" s="28" t="str">
        <x:v>Scenario assumption</x:v>
      </x:c>
      <x:c r="I135" s="28" t="str">
        <x:v>Entry age after school, tertiary or vocational transition.</x:v>
      </x:c>
      <x:c r="J135" s="339"/>
      <x:c r="K135" s="339"/>
      <x:c r="L135" s="339"/>
      <x:c r="M135" s="339"/>
      <x:c r="N135" s="339"/>
      <x:c r="O135" s="339"/>
      <x:c r="P135" s="339"/>
      <x:c r="Q135" s="339"/>
      <x:c r="R135" s="339"/>
      <x:c r="S135" s="339"/>
      <x:c r="T135" s="339"/>
      <x:c r="U135" s="1194"/>
      <x:c r="V135" s="1194"/>
      <x:c r="W135" s="1194"/>
      <x:c r="X135" s="1194"/>
      <x:c r="Y135" s="339"/>
      <x:c r="Z135" s="339"/>
    </x:row>
    <x:row r="136">
      <x:c r="A136" s="28" t="str">
        <x:v>Human capital</x:v>
      </x:c>
      <x:c r="B136" s="28" t="str">
        <x:v>Working-life end age</x:v>
      </x:c>
      <x:c r="C136" s="28" t="str">
        <x:v>age</x:v>
      </x:c>
      <x:c r="D136" s="886" t="n">
        <x:v>60</x:v>
      </x:c>
      <x:c r="E136" s="886" t="n">
        <x:v>64</x:v>
      </x:c>
      <x:c r="F136" s="886" t="n">
        <x:v>65</x:v>
      </x:c>
      <x:c r="G136" s="28" t="str">
        <x:v>A18</x:v>
      </x:c>
      <x:c r="H136" s="28" t="str">
        <x:v>Scenario assumption</x:v>
      </x:c>
      <x:c r="I136" s="28" t="str">
        <x:v>Earnings model stops at this age.</x:v>
      </x:c>
      <x:c r="J136" s="339"/>
      <x:c r="K136" s="339"/>
      <x:c r="L136" s="339"/>
      <x:c r="M136" s="339"/>
      <x:c r="N136" s="339"/>
      <x:c r="O136" s="339"/>
      <x:c r="P136" s="339"/>
      <x:c r="Q136" s="339"/>
      <x:c r="R136" s="339"/>
      <x:c r="S136" s="339"/>
      <x:c r="T136" s="339"/>
      <x:c r="U136" s="1194"/>
      <x:c r="V136" s="1194"/>
      <x:c r="W136" s="1194"/>
      <x:c r="X136" s="1194"/>
      <x:c r="Y136" s="339"/>
      <x:c r="Z136" s="339"/>
    </x:row>
    <x:row r="137">
      <x:c r="A137" s="28" t="str">
        <x:v>Human capital</x:v>
      </x:c>
      <x:c r="B137" s="28" t="str">
        <x:v>Employment probability</x:v>
      </x:c>
      <x:c r="C137" s="28" t="str">
        <x:v>%</x:v>
      </x:c>
      <x:c r="D137" s="885" t="n">
        <x:v>0.75</x:v>
      </x:c>
      <x:c r="E137" s="885" t="n">
        <x:v>0.85</x:v>
      </x:c>
      <x:c r="F137" s="885" t="n">
        <x:v>0.9</x:v>
      </x:c>
      <x:c r="G137" s="28" t="str">
        <x:v>S41;A18</x:v>
      </x:c>
      <x:c r="H137" s="28" t="str">
        <x:v>Scenario assumption</x:v>
      </x:c>
      <x:c r="I137" s="28" t="str">
        <x:v>Applied to hourly earnings because the official earnings series covers employed adults.</x:v>
      </x:c>
      <x:c r="J137" s="339"/>
      <x:c r="K137" s="339"/>
      <x:c r="L137" s="339"/>
      <x:c r="M137" s="339"/>
      <x:c r="N137" s="339"/>
      <x:c r="O137" s="339"/>
      <x:c r="P137" s="339"/>
      <x:c r="Q137" s="339"/>
      <x:c r="R137" s="339"/>
      <x:c r="S137" s="339"/>
      <x:c r="T137" s="339"/>
      <x:c r="U137" s="1194"/>
      <x:c r="V137" s="1194"/>
      <x:c r="W137" s="1194"/>
      <x:c r="X137" s="1194"/>
      <x:c r="Y137" s="339"/>
      <x:c r="Z137" s="339"/>
    </x:row>
    <x:row r="138">
      <x:c r="A138" s="28" t="str">
        <x:v>Human capital</x:v>
      </x:c>
      <x:c r="B138" s="28" t="str">
        <x:v>Usual paid hours per week</x:v>
      </x:c>
      <x:c r="C138" s="28" t="str">
        <x:v>hours/week</x:v>
      </x:c>
      <x:c r="D138" s="886" t="n">
        <x:v>32</x:v>
      </x:c>
      <x:c r="E138" s="886" t="n">
        <x:v>37</x:v>
      </x:c>
      <x:c r="F138" s="886" t="n">
        <x:v>38.25</x:v>
      </x:c>
      <x:c r="G138" s="28" t="str">
        <x:v>S41;S47</x:v>
      </x:c>
      <x:c r="H138" s="28" t="str">
        <x:v>Official anchor plus sensitivity</x:v>
      </x:c>
      <x:c r="I138" s="28" t="str">
        <x:v>37 hours is the 2024 labour-force anchor; 38.25 is the March 2025 FTE paid-hours cross-check.</x:v>
      </x:c>
      <x:c r="J138" s="339"/>
      <x:c r="K138" s="339"/>
      <x:c r="L138" s="339"/>
      <x:c r="M138" s="339"/>
      <x:c r="N138" s="339"/>
      <x:c r="O138" s="339"/>
      <x:c r="P138" s="339"/>
      <x:c r="Q138" s="339"/>
      <x:c r="R138" s="339"/>
      <x:c r="S138" s="339"/>
      <x:c r="T138" s="339"/>
      <x:c r="U138" s="1194"/>
      <x:c r="V138" s="1194"/>
      <x:c r="W138" s="1194"/>
      <x:c r="X138" s="1194"/>
      <x:c r="Y138" s="339"/>
      <x:c r="Z138" s="339"/>
    </x:row>
    <x:row r="139">
      <x:c r="A139" s="28" t="str">
        <x:v>Human capital</x:v>
      </x:c>
      <x:c r="B139" s="28" t="str">
        <x:v>Paid weeks per year</x:v>
      </x:c>
      <x:c r="C139" s="28" t="str">
        <x:v>weeks/year</x:v>
      </x:c>
      <x:c r="D139" s="886" t="n">
        <x:v>48</x:v>
      </x:c>
      <x:c r="E139" s="886" t="n">
        <x:v>52</x:v>
      </x:c>
      <x:c r="F139" s="886" t="n">
        <x:v>52</x:v>
      </x:c>
      <x:c r="G139" s="28" t="str">
        <x:v>A18</x:v>
      </x:c>
      <x:c r="H139" s="28" t="str">
        <x:v>Scenario assumption</x:v>
      </x:c>
      <x:c r="I139" s="28" t="str">
        <x:v>Paid employment convention; hours are still adjusted through employment probability.</x:v>
      </x:c>
      <x:c r="J139" s="339"/>
      <x:c r="K139" s="339"/>
      <x:c r="L139" s="339"/>
      <x:c r="M139" s="339"/>
      <x:c r="N139" s="339"/>
      <x:c r="O139" s="339"/>
      <x:c r="P139" s="339"/>
      <x:c r="Q139" s="339"/>
      <x:c r="R139" s="339"/>
      <x:c r="S139" s="339"/>
      <x:c r="T139" s="339"/>
      <x:c r="U139" s="1194"/>
      <x:c r="V139" s="1194"/>
      <x:c r="W139" s="1194"/>
      <x:c r="X139" s="1194"/>
      <x:c r="Y139" s="339"/>
      <x:c r="Z139" s="339"/>
    </x:row>
    <x:row r="140">
      <x:c r="A140" s="28" t="str">
        <x:v>Human capital</x:v>
      </x:c>
      <x:c r="B140" s="28" t="str">
        <x:v>Real wage growth</x:v>
      </x:c>
      <x:c r="C140" s="28" t="str">
        <x:v>%/year</x:v>
      </x:c>
      <x:c r="D140" s="885" t="n">
        <x:v>0</x:v>
      </x:c>
      <x:c r="E140" s="885" t="n">
        <x:v>0.005</x:v>
      </x:c>
      <x:c r="F140" s="885" t="n">
        <x:v>0.01</x:v>
      </x:c>
      <x:c r="G140" s="28" t="str">
        <x:v>A18</x:v>
      </x:c>
      <x:c r="H140" s="28" t="str">
        <x:v>Scenario assumption</x:v>
      </x:c>
      <x:c r="I140" s="28" t="str">
        <x:v>Separate from the age-earnings profile.</x:v>
      </x:c>
      <x:c r="J140" s="339"/>
      <x:c r="K140" s="339"/>
      <x:c r="L140" s="339"/>
      <x:c r="M140" s="339"/>
      <x:c r="N140" s="339"/>
      <x:c r="O140" s="339"/>
      <x:c r="P140" s="339"/>
      <x:c r="Q140" s="339"/>
      <x:c r="R140" s="339"/>
      <x:c r="S140" s="339"/>
      <x:c r="T140" s="339"/>
      <x:c r="U140" s="1194"/>
      <x:c r="V140" s="1194"/>
      <x:c r="W140" s="1194"/>
      <x:c r="X140" s="1194"/>
      <x:c r="Y140" s="339"/>
      <x:c r="Z140" s="339"/>
    </x:row>
    <x:row r="141">
      <x:c r="A141" s="28" t="str">
        <x:v>Human capital</x:v>
      </x:c>
      <x:c r="B141" s="28" t="str">
        <x:v>Domestic retention</x:v>
      </x:c>
      <x:c r="C141" s="28" t="str">
        <x:v>%</x:v>
      </x:c>
      <x:c r="D141" s="885" t="n">
        <x:v>0.75</x:v>
      </x:c>
      <x:c r="E141" s="885" t="n">
        <x:v>0.9</x:v>
      </x:c>
      <x:c r="F141" s="885" t="n">
        <x:v>0.95</x:v>
      </x:c>
      <x:c r="G141" s="28" t="str">
        <x:v>S44;A18</x:v>
      </x:c>
      <x:c r="H141" s="28" t="str">
        <x:v>Scenario assumption</x:v>
      </x:c>
      <x:c r="I141" s="28" t="str">
        <x:v>Allows for migration and overseas earnings that do not directly expand the domestic tax base.</x:v>
      </x:c>
      <x:c r="J141" s="339"/>
      <x:c r="K141" s="339"/>
      <x:c r="L141" s="339"/>
      <x:c r="M141" s="339"/>
      <x:c r="N141" s="339"/>
      <x:c r="O141" s="339"/>
      <x:c r="P141" s="339"/>
      <x:c r="Q141" s="339"/>
      <x:c r="R141" s="339"/>
      <x:c r="S141" s="339"/>
      <x:c r="T141" s="339"/>
      <x:c r="U141" s="1194"/>
      <x:c r="V141" s="1194"/>
      <x:c r="W141" s="1194"/>
      <x:c r="X141" s="1194"/>
      <x:c r="Y141" s="339"/>
      <x:c r="Z141" s="339"/>
    </x:row>
    <x:row r="142">
      <x:c r="A142" s="28" t="str">
        <x:v>Human capital</x:v>
      </x:c>
      <x:c r="B142" s="28" t="str">
        <x:v>Programme attribution factor</x:v>
      </x:c>
      <x:c r="C142" s="28" t="str">
        <x:v>%</x:v>
      </x:c>
      <x:c r="D142" s="885" t="n">
        <x:v>0.4</x:v>
      </x:c>
      <x:c r="E142" s="885" t="n">
        <x:v>0.6</x:v>
      </x:c>
      <x:c r="F142" s="885" t="n">
        <x:v>0.75</x:v>
      </x:c>
      <x:c r="G142" s="28" t="str">
        <x:v>S05;A18</x:v>
      </x:c>
      <x:c r="H142" s="28" t="str">
        <x:v>Scenario assumption</x:v>
      </x:c>
      <x:c r="I142" s="28" t="str">
        <x:v>Causal attribution must be established by the pilot.</x:v>
      </x:c>
      <x:c r="J142" s="339"/>
      <x:c r="K142" s="339"/>
      <x:c r="L142" s="339"/>
      <x:c r="M142" s="339"/>
      <x:c r="N142" s="339"/>
      <x:c r="O142" s="339"/>
      <x:c r="P142" s="339"/>
      <x:c r="Q142" s="339"/>
      <x:c r="R142" s="339"/>
      <x:c r="S142" s="339"/>
      <x:c r="T142" s="339"/>
      <x:c r="U142" s="1194"/>
      <x:c r="V142" s="1194"/>
      <x:c r="W142" s="1194"/>
      <x:c r="X142" s="1194"/>
      <x:c r="Y142" s="339"/>
      <x:c r="Z142" s="339"/>
    </x:row>
    <x:row r="143">
      <x:c r="A143" s="28" t="str">
        <x:v>Human capital</x:v>
      </x:c>
      <x:c r="B143" s="28" t="str">
        <x:v>Persistence / fade-out factor</x:v>
      </x:c>
      <x:c r="C143" s="28" t="str">
        <x:v>%</x:v>
      </x:c>
      <x:c r="D143" s="885" t="n">
        <x:v>0.6</x:v>
      </x:c>
      <x:c r="E143" s="885" t="n">
        <x:v>0.8</x:v>
      </x:c>
      <x:c r="F143" s="885" t="n">
        <x:v>0.9</x:v>
      </x:c>
      <x:c r="G143" s="28" t="str">
        <x:v>S05;A18</x:v>
      </x:c>
      <x:c r="H143" s="28" t="str">
        <x:v>Scenario assumption</x:v>
      </x:c>
      <x:c r="I143" s="28" t="str">
        <x:v>Long-run persistence of earnings effects.</x:v>
      </x:c>
      <x:c r="J143" s="339"/>
      <x:c r="K143" s="339"/>
      <x:c r="L143" s="339"/>
      <x:c r="M143" s="339"/>
      <x:c r="N143" s="339"/>
      <x:c r="O143" s="339"/>
      <x:c r="P143" s="339"/>
      <x:c r="Q143" s="339"/>
      <x:c r="R143" s="339"/>
      <x:c r="S143" s="339"/>
      <x:c r="T143" s="339"/>
      <x:c r="U143" s="1194"/>
      <x:c r="V143" s="1194"/>
      <x:c r="W143" s="1194"/>
      <x:c r="X143" s="1194"/>
      <x:c r="Y143" s="339"/>
      <x:c r="Z143" s="339"/>
    </x:row>
    <x:row r="144">
      <x:c r="A144" s="28" t="str">
        <x:v>Human capital</x:v>
      </x:c>
      <x:c r="B144" s="28" t="str">
        <x:v>Deadweight adjustment</x:v>
      </x:c>
      <x:c r="C144" s="28" t="str">
        <x:v>%</x:v>
      </x:c>
      <x:c r="D144" s="885" t="n">
        <x:v>0.25</x:v>
      </x:c>
      <x:c r="E144" s="885" t="n">
        <x:v>0.15</x:v>
      </x:c>
      <x:c r="F144" s="885" t="n">
        <x:v>0.1</x:v>
      </x:c>
      <x:c r="G144" s="28" t="str">
        <x:v>S05;A18</x:v>
      </x:c>
      <x:c r="H144" s="28" t="str">
        <x:v>Scenario assumption</x:v>
      </x:c>
      <x:c r="I144" s="28" t="str">
        <x:v>Removes outcomes that would have occurred without the programme.</x:v>
      </x:c>
      <x:c r="J144" s="339"/>
      <x:c r="K144" s="339"/>
      <x:c r="L144" s="339"/>
      <x:c r="M144" s="339"/>
      <x:c r="N144" s="339"/>
      <x:c r="O144" s="339"/>
      <x:c r="P144" s="339"/>
      <x:c r="Q144" s="339"/>
      <x:c r="R144" s="339"/>
      <x:c r="S144" s="339"/>
      <x:c r="T144" s="339"/>
      <x:c r="U144" s="1194"/>
      <x:c r="V144" s="1194"/>
      <x:c r="W144" s="1194"/>
      <x:c r="X144" s="1194"/>
      <x:c r="Y144" s="339"/>
      <x:c r="Z144" s="339"/>
    </x:row>
    <x:row r="145">
      <x:c r="A145" s="28" t="str">
        <x:v>Human capital</x:v>
      </x:c>
      <x:c r="B145" s="28" t="str">
        <x:v>Worker displacement adjustment</x:v>
      </x:c>
      <x:c r="C145" s="28" t="str">
        <x:v>%</x:v>
      </x:c>
      <x:c r="D145" s="885" t="n">
        <x:v>0.15</x:v>
      </x:c>
      <x:c r="E145" s="885" t="n">
        <x:v>0.05</x:v>
      </x:c>
      <x:c r="F145" s="885" t="n">
        <x:v>0.02</x:v>
      </x:c>
      <x:c r="G145" s="28" t="str">
        <x:v>S05;A18</x:v>
      </x:c>
      <x:c r="H145" s="28" t="str">
        <x:v>Scenario assumption</x:v>
      </x:c>
      <x:c r="I145" s="28" t="str">
        <x:v>Allows for substitution between programme and non-programme workers.</x:v>
      </x:c>
      <x:c r="J145" s="339"/>
      <x:c r="K145" s="339"/>
      <x:c r="L145" s="339"/>
      <x:c r="M145" s="339"/>
      <x:c r="N145" s="339"/>
      <x:c r="O145" s="339"/>
      <x:c r="P145" s="339"/>
      <x:c r="Q145" s="339"/>
      <x:c r="R145" s="339"/>
      <x:c r="S145" s="339"/>
      <x:c r="T145" s="339"/>
      <x:c r="U145" s="1194"/>
      <x:c r="V145" s="1194"/>
      <x:c r="W145" s="1194"/>
      <x:c r="X145" s="1194"/>
      <x:c r="Y145" s="339"/>
      <x:c r="Z145" s="339"/>
    </x:row>
    <x:row r="146">
      <x:c r="A146" s="28" t="str">
        <x:v>Human capital</x:v>
      </x:c>
      <x:c r="B146" s="28" t="str">
        <x:v>General-equilibrium haircut</x:v>
      </x:c>
      <x:c r="C146" s="28" t="str">
        <x:v>%</x:v>
      </x:c>
      <x:c r="D146" s="885" t="n">
        <x:v>0.15</x:v>
      </x:c>
      <x:c r="E146" s="885" t="n">
        <x:v>0.05</x:v>
      </x:c>
      <x:c r="F146" s="885" t="n">
        <x:v>0</x:v>
      </x:c>
      <x:c r="G146" s="28" t="str">
        <x:v>A19</x:v>
      </x:c>
      <x:c r="H146" s="28" t="str">
        <x:v>Scenario assumption</x:v>
      </x:c>
      <x:c r="I146" s="28" t="str">
        <x:v>Occupation oversupply, wage suppression, credential inflation, automation and capacity effects.</x:v>
      </x:c>
      <x:c r="J146" s="339"/>
      <x:c r="K146" s="339"/>
      <x:c r="L146" s="339"/>
      <x:c r="M146" s="339"/>
      <x:c r="N146" s="339"/>
      <x:c r="O146" s="339"/>
      <x:c r="P146" s="339"/>
      <x:c r="Q146" s="339"/>
      <x:c r="R146" s="339"/>
      <x:c r="S146" s="339"/>
      <x:c r="T146" s="339"/>
      <x:c r="U146" s="1194"/>
      <x:c r="V146" s="1194"/>
      <x:c r="W146" s="1194"/>
      <x:c r="X146" s="1194"/>
      <x:c r="Y146" s="339"/>
      <x:c r="Z146" s="339"/>
    </x:row>
    <x:row r="147">
      <x:c r="A147" s="28" t="str">
        <x:v>Human capital</x:v>
      </x:c>
      <x:c r="B147" s="28" t="str">
        <x:v>Early-career hourly-earnings factor</x:v>
      </x:c>
      <x:c r="C147" s="28" t="str">
        <x:v>% of age 25–34 rate</x:v>
      </x:c>
      <x:c r="D147" s="885" t="n">
        <x:v>0.65</x:v>
      </x:c>
      <x:c r="E147" s="885" t="n">
        <x:v>0.75</x:v>
      </x:c>
      <x:c r="F147" s="885" t="n">
        <x:v>0.85</x:v>
      </x:c>
      <x:c r="G147" s="28" t="str">
        <x:v>A18</x:v>
      </x:c>
      <x:c r="H147" s="28" t="str">
        <x:v>Scenario assumption</x:v>
      </x:c>
      <x:c r="I147" s="28" t="str">
        <x:v>Applied from labour-market entry to age 24.</x:v>
      </x:c>
      <x:c r="J147" s="339"/>
      <x:c r="K147" s="339"/>
      <x:c r="L147" s="339"/>
      <x:c r="M147" s="339"/>
      <x:c r="N147" s="339"/>
      <x:c r="O147" s="339"/>
      <x:c r="P147" s="339"/>
      <x:c r="Q147" s="339"/>
      <x:c r="R147" s="339"/>
      <x:c r="S147" s="339"/>
      <x:c r="T147" s="339"/>
      <x:c r="U147" s="1194"/>
      <x:c r="V147" s="1194"/>
      <x:c r="W147" s="1194"/>
      <x:c r="X147" s="1194"/>
      <x:c r="Y147" s="339"/>
      <x:c r="Z147" s="339"/>
    </x:row>
    <x:row r="148">
      <x:c r="A148" s="28" t="str">
        <x:v>Human capital</x:v>
      </x:c>
      <x:c r="B148" s="28" t="str">
        <x:v>Broad-cohort benefit-receipt reduction</x:v>
      </x:c>
      <x:c r="C148" s="28" t="str">
        <x:v>% of adjusted people</x:v>
      </x:c>
      <x:c r="D148" s="885" t="n">
        <x:v>0.0025</x:v>
      </x:c>
      <x:c r="E148" s="885" t="n">
        <x:v>0.005</x:v>
      </x:c>
      <x:c r="F148" s="885" t="n">
        <x:v>0.01</x:v>
      </x:c>
      <x:c r="G148" s="28" t="str">
        <x:v>A18</x:v>
      </x:c>
      <x:c r="H148" s="28" t="str">
        <x:v>Scenario assumption</x:v>
      </x:c>
      <x:c r="I148" s="28" t="str">
        <x:v>Excludes sustained-NEET cases already valued through Pacheco and Dye.</x:v>
      </x:c>
      <x:c r="J148" s="339"/>
      <x:c r="K148" s="339"/>
      <x:c r="L148" s="339"/>
      <x:c r="M148" s="339"/>
      <x:c r="N148" s="339"/>
      <x:c r="O148" s="339"/>
      <x:c r="P148" s="339"/>
      <x:c r="Q148" s="339"/>
      <x:c r="R148" s="339"/>
      <x:c r="S148" s="339"/>
      <x:c r="T148" s="339"/>
      <x:c r="U148" s="1194"/>
      <x:c r="V148" s="1194"/>
      <x:c r="W148" s="1194"/>
      <x:c r="X148" s="1194"/>
      <x:c r="Y148" s="339"/>
      <x:c r="Z148" s="339"/>
    </x:row>
    <x:row r="149">
      <x:c r="A149" s="28" t="str">
        <x:v>Human capital</x:v>
      </x:c>
      <x:c r="B149" s="28" t="str">
        <x:v>Benefit-receipt years avoided</x:v>
      </x:c>
      <x:c r="C149" s="28" t="str">
        <x:v>years</x:v>
      </x:c>
      <x:c r="D149" s="886" t="n">
        <x:v>1</x:v>
      </x:c>
      <x:c r="E149" s="886" t="n">
        <x:v>2</x:v>
      </x:c>
      <x:c r="F149" s="886" t="n">
        <x:v>3</x:v>
      </x:c>
      <x:c r="G149" s="28" t="str">
        <x:v>A18</x:v>
      </x:c>
      <x:c r="H149" s="28" t="str">
        <x:v>Scenario assumption</x:v>
      </x:c>
      <x:c r="I149" s="28" t="str">
        <x:v>Short-duration fiscal sensitivity.</x:v>
      </x:c>
      <x:c r="J149" s="339"/>
      <x:c r="K149" s="339"/>
      <x:c r="L149" s="339"/>
      <x:c r="M149" s="339"/>
      <x:c r="N149" s="339"/>
      <x:c r="O149" s="339"/>
      <x:c r="P149" s="339"/>
      <x:c r="Q149" s="339"/>
      <x:c r="R149" s="339"/>
      <x:c r="S149" s="339"/>
      <x:c r="T149" s="339"/>
      <x:c r="U149" s="1194"/>
      <x:c r="V149" s="1194"/>
      <x:c r="W149" s="1194"/>
      <x:c r="X149" s="1194"/>
      <x:c r="Y149" s="339"/>
      <x:c r="Z149" s="339"/>
    </x:row>
    <x:row r="150">
      <x:c r="A150" s="28" t="str">
        <x:v>Human capital</x:v>
      </x:c>
      <x:c r="B150" s="28" t="str">
        <x:v>2025 to 2026 earnings conversion factor</x:v>
      </x:c>
      <x:c r="C150" s="28" t="str">
        <x:v>x</x:v>
      </x:c>
      <x:c r="D150" s="887" t="n">
        <x:v>1.027</x:v>
      </x:c>
      <x:c r="E150" s="887" t="n">
        <x:v>1.027</x:v>
      </x:c>
      <x:c r="F150" s="887" t="n">
        <x:v>1.027</x:v>
      </x:c>
      <x:c r="G150" s="28" t="str">
        <x:v>S26;S34</x:v>
      </x:c>
      <x:c r="H150" s="28" t="str">
        <x:v>Official planning factor</x:v>
      </x:c>
      <x:c r="I150" s="28" t="str">
        <x:v>Uses the first-year Treasury CPI assumption for a 2026-dollar planning base.</x:v>
      </x:c>
      <x:c r="J150" s="339"/>
      <x:c r="K150" s="339"/>
      <x:c r="L150" s="339"/>
      <x:c r="M150" s="339"/>
      <x:c r="N150" s="339"/>
      <x:c r="O150" s="339"/>
      <x:c r="P150" s="339"/>
      <x:c r="Q150" s="339"/>
      <x:c r="R150" s="339"/>
      <x:c r="S150" s="339"/>
      <x:c r="T150" s="339"/>
      <x:c r="U150" s="1194"/>
      <x:c r="V150" s="1194"/>
      <x:c r="W150" s="1194"/>
      <x:c r="X150" s="1194"/>
      <x:c r="Y150" s="339"/>
      <x:c r="Z150" s="339"/>
    </x:row>
    <x:row r="151">
      <x:c r="A151" s="890" t="str">
        <x:v>Earnings profile</x:v>
      </x:c>
      <x:c r="B151" s="890" t="str">
        <x:v>Median hourly earnings — age 25–34</x:v>
      </x:c>
      <x:c r="C151" s="889" t="str">
        <x:v>NZD/hour</x:v>
      </x:c>
      <x:c r="D151" s="891" t="n">
        <x:v>34.88</x:v>
      </x:c>
      <x:c r="E151" s="891" t="n">
        <x:v>34.88</x:v>
      </x:c>
      <x:c r="F151" s="891" t="n">
        <x:v>34.88</x:v>
      </x:c>
      <x:c r="G151" s="889" t="str">
        <x:v>S34</x:v>
      </x:c>
      <x:c r="H151" s="889" t="str">
        <x:v>Official 2025 statistic</x:v>
      </x:c>
      <x:c r="I151" s="889" t="str">
        <x:v>Employed adults, all qualification levels.</x:v>
      </x:c>
      <x:c r="J151" s="339"/>
      <x:c r="K151" s="339"/>
      <x:c r="L151" s="339"/>
      <x:c r="M151" s="339"/>
      <x:c r="N151" s="339"/>
      <x:c r="O151" s="339"/>
      <x:c r="P151" s="339"/>
      <x:c r="Q151" s="339"/>
      <x:c r="R151" s="339"/>
      <x:c r="S151" s="339"/>
      <x:c r="T151" s="339"/>
      <x:c r="U151" s="1194"/>
      <x:c r="V151" s="1194"/>
      <x:c r="W151" s="1194"/>
      <x:c r="X151" s="1194"/>
      <x:c r="Y151" s="339"/>
      <x:c r="Z151" s="339"/>
    </x:row>
    <x:row r="152">
      <x:c r="A152" s="28" t="str">
        <x:v>Earnings profile</x:v>
      </x:c>
      <x:c r="B152" s="28" t="str">
        <x:v>Median hourly earnings — age 35–44</x:v>
      </x:c>
      <x:c r="C152" s="28" t="str">
        <x:v>NZD/hour</x:v>
      </x:c>
      <x:c r="D152" s="888" t="n">
        <x:v>39.45</x:v>
      </x:c>
      <x:c r="E152" s="888" t="n">
        <x:v>39.45</x:v>
      </x:c>
      <x:c r="F152" s="888" t="n">
        <x:v>39.45</x:v>
      </x:c>
      <x:c r="G152" s="28" t="str">
        <x:v>S34</x:v>
      </x:c>
      <x:c r="H152" s="28" t="str">
        <x:v>Official 2025 statistic</x:v>
      </x:c>
      <x:c r="I152" s="28" t="str">
        <x:v>Employed adults, all qualification levels.</x:v>
      </x:c>
      <x:c r="J152" s="339"/>
      <x:c r="K152" s="339"/>
      <x:c r="L152" s="339"/>
      <x:c r="M152" s="339"/>
      <x:c r="N152" s="339"/>
      <x:c r="O152" s="339"/>
      <x:c r="P152" s="339"/>
      <x:c r="Q152" s="339"/>
      <x:c r="R152" s="339"/>
      <x:c r="S152" s="339"/>
      <x:c r="T152" s="339"/>
      <x:c r="U152" s="1194"/>
      <x:c r="V152" s="1194"/>
      <x:c r="W152" s="1194"/>
      <x:c r="X152" s="1194"/>
      <x:c r="Y152" s="339"/>
      <x:c r="Z152" s="339"/>
    </x:row>
    <x:row r="153">
      <x:c r="A153" s="28" t="str">
        <x:v>Earnings profile</x:v>
      </x:c>
      <x:c r="B153" s="28" t="str">
        <x:v>Median hourly earnings — age 45–54</x:v>
      </x:c>
      <x:c r="C153" s="28" t="str">
        <x:v>NZD/hour</x:v>
      </x:c>
      <x:c r="D153" s="888" t="n">
        <x:v>39.5</x:v>
      </x:c>
      <x:c r="E153" s="888" t="n">
        <x:v>39.5</x:v>
      </x:c>
      <x:c r="F153" s="888" t="n">
        <x:v>39.5</x:v>
      </x:c>
      <x:c r="G153" s="28" t="str">
        <x:v>S34</x:v>
      </x:c>
      <x:c r="H153" s="28" t="str">
        <x:v>Official 2025 statistic</x:v>
      </x:c>
      <x:c r="I153" s="28" t="str">
        <x:v>Employed adults, all qualification levels.</x:v>
      </x:c>
      <x:c r="J153" s="339"/>
      <x:c r="K153" s="339"/>
      <x:c r="L153" s="339"/>
      <x:c r="M153" s="339"/>
      <x:c r="N153" s="339"/>
      <x:c r="O153" s="339"/>
      <x:c r="P153" s="339"/>
      <x:c r="Q153" s="339"/>
      <x:c r="R153" s="339"/>
      <x:c r="S153" s="339"/>
      <x:c r="T153" s="339"/>
      <x:c r="U153" s="1194"/>
      <x:c r="V153" s="1194"/>
      <x:c r="W153" s="1194"/>
      <x:c r="X153" s="1194"/>
      <x:c r="Y153" s="339"/>
      <x:c r="Z153" s="339"/>
    </x:row>
    <x:row r="154">
      <x:c r="A154" s="28" t="str">
        <x:v>Earnings profile</x:v>
      </x:c>
      <x:c r="B154" s="28" t="str">
        <x:v>Median hourly earnings — age 55–64</x:v>
      </x:c>
      <x:c r="C154" s="28" t="str">
        <x:v>NZD/hour</x:v>
      </x:c>
      <x:c r="D154" s="888" t="n">
        <x:v>37</x:v>
      </x:c>
      <x:c r="E154" s="888" t="n">
        <x:v>37</x:v>
      </x:c>
      <x:c r="F154" s="888" t="n">
        <x:v>37</x:v>
      </x:c>
      <x:c r="G154" s="28" t="str">
        <x:v>S34</x:v>
      </x:c>
      <x:c r="H154" s="28" t="str">
        <x:v>Official 2025 statistic</x:v>
      </x:c>
      <x:c r="I154" s="28" t="str">
        <x:v>Employed adults, all qualification levels.</x:v>
      </x:c>
      <x:c r="J154" s="339"/>
      <x:c r="K154" s="339"/>
      <x:c r="L154" s="339"/>
      <x:c r="M154" s="339"/>
      <x:c r="N154" s="339"/>
      <x:c r="O154" s="339"/>
      <x:c r="P154" s="339"/>
      <x:c r="Q154" s="339"/>
      <x:c r="R154" s="339"/>
      <x:c r="S154" s="339"/>
      <x:c r="T154" s="339"/>
      <x:c r="U154" s="1194"/>
      <x:c r="V154" s="1194"/>
      <x:c r="W154" s="1194"/>
      <x:c r="X154" s="1194"/>
      <x:c r="Y154" s="339"/>
      <x:c r="Z154" s="339"/>
    </x:row>
    <x:row r="155">
      <x:c r="A155" s="890" t="str">
        <x:v>Tax and ACC</x:v>
      </x:c>
      <x:c r="B155" s="890" t="str">
        <x:v>Income-tax threshold 1</x:v>
      </x:c>
      <x:c r="C155" s="889" t="str">
        <x:v>NZD/year</x:v>
      </x:c>
      <x:c r="D155" s="891" t="n">
        <x:v>15600</x:v>
      </x:c>
      <x:c r="E155" s="891" t="n">
        <x:v>15600</x:v>
      </x:c>
      <x:c r="F155" s="891" t="n">
        <x:v>15600</x:v>
      </x:c>
      <x:c r="G155" s="889" t="str">
        <x:v>S42</x:v>
      </x:c>
      <x:c r="H155" s="889" t="str">
        <x:v>Official 2026 rate</x:v>
      </x:c>
      <x:c r="I155" s="889" t="str">
        <x:v>Taxable income up to threshold.</x:v>
      </x:c>
      <x:c r="J155" s="339"/>
      <x:c r="K155" s="339"/>
      <x:c r="L155" s="339"/>
      <x:c r="M155" s="339"/>
      <x:c r="N155" s="339"/>
      <x:c r="O155" s="339"/>
      <x:c r="P155" s="339"/>
      <x:c r="Q155" s="339"/>
      <x:c r="R155" s="339"/>
      <x:c r="S155" s="339"/>
      <x:c r="T155" s="339"/>
      <x:c r="U155" s="1194"/>
      <x:c r="V155" s="1194"/>
      <x:c r="W155" s="1194"/>
      <x:c r="X155" s="1194"/>
      <x:c r="Y155" s="339"/>
      <x:c r="Z155" s="339"/>
    </x:row>
    <x:row r="156">
      <x:c r="A156" s="28" t="str">
        <x:v>Tax and ACC</x:v>
      </x:c>
      <x:c r="B156" s="28" t="str">
        <x:v>Income-tax rate 1</x:v>
      </x:c>
      <x:c r="C156" s="28" t="str">
        <x:v>%</x:v>
      </x:c>
      <x:c r="D156" s="885" t="n">
        <x:v>0.105</x:v>
      </x:c>
      <x:c r="E156" s="885" t="n">
        <x:v>0.105</x:v>
      </x:c>
      <x:c r="F156" s="885" t="n">
        <x:v>0.105</x:v>
      </x:c>
      <x:c r="G156" s="28" t="str">
        <x:v>S42</x:v>
      </x:c>
      <x:c r="H156" s="28" t="str">
        <x:v>Official 2026 rate</x:v>
      </x:c>
      <x:c r="I156" s="28" t="str">
        <x:v>Current individual rate.</x:v>
      </x:c>
      <x:c r="J156" s="339"/>
      <x:c r="K156" s="339"/>
      <x:c r="L156" s="339"/>
      <x:c r="M156" s="339"/>
      <x:c r="N156" s="339"/>
      <x:c r="O156" s="339"/>
      <x:c r="P156" s="339"/>
      <x:c r="Q156" s="339"/>
      <x:c r="R156" s="339"/>
      <x:c r="S156" s="339"/>
      <x:c r="T156" s="339"/>
      <x:c r="U156" s="1194"/>
      <x:c r="V156" s="1194"/>
      <x:c r="W156" s="1194"/>
      <x:c r="X156" s="1194"/>
      <x:c r="Y156" s="339"/>
      <x:c r="Z156" s="339"/>
    </x:row>
    <x:row r="157">
      <x:c r="A157" s="28" t="str">
        <x:v>Tax and ACC</x:v>
      </x:c>
      <x:c r="B157" s="28" t="str">
        <x:v>Income-tax threshold 2</x:v>
      </x:c>
      <x:c r="C157" s="28" t="str">
        <x:v>NZD/year</x:v>
      </x:c>
      <x:c r="D157" s="888" t="n">
        <x:v>53500</x:v>
      </x:c>
      <x:c r="E157" s="888" t="n">
        <x:v>53500</x:v>
      </x:c>
      <x:c r="F157" s="888" t="n">
        <x:v>53500</x:v>
      </x:c>
      <x:c r="G157" s="28" t="str">
        <x:v>S42</x:v>
      </x:c>
      <x:c r="H157" s="28" t="str">
        <x:v>Official 2026 rate</x:v>
      </x:c>
      <x:c r="I157" s="28" t="str">
        <x:v>Taxable income upper bound.</x:v>
      </x:c>
      <x:c r="J157" s="339"/>
      <x:c r="K157" s="339"/>
      <x:c r="L157" s="339"/>
      <x:c r="M157" s="339"/>
      <x:c r="N157" s="339"/>
      <x:c r="O157" s="339"/>
      <x:c r="P157" s="339"/>
      <x:c r="Q157" s="339"/>
      <x:c r="R157" s="339"/>
      <x:c r="S157" s="339"/>
      <x:c r="T157" s="339"/>
      <x:c r="U157" s="1194"/>
      <x:c r="V157" s="1194"/>
      <x:c r="W157" s="1194"/>
      <x:c r="X157" s="1194"/>
      <x:c r="Y157" s="339"/>
      <x:c r="Z157" s="339"/>
    </x:row>
    <x:row r="158">
      <x:c r="A158" s="28" t="str">
        <x:v>Tax and ACC</x:v>
      </x:c>
      <x:c r="B158" s="28" t="str">
        <x:v>Income-tax rate 2</x:v>
      </x:c>
      <x:c r="C158" s="28" t="str">
        <x:v>%</x:v>
      </x:c>
      <x:c r="D158" s="885" t="n">
        <x:v>0.175</x:v>
      </x:c>
      <x:c r="E158" s="885" t="n">
        <x:v>0.175</x:v>
      </x:c>
      <x:c r="F158" s="885" t="n">
        <x:v>0.175</x:v>
      </x:c>
      <x:c r="G158" s="28" t="str">
        <x:v>S42</x:v>
      </x:c>
      <x:c r="H158" s="28" t="str">
        <x:v>Official 2026 rate</x:v>
      </x:c>
      <x:c r="I158" s="28" t="str">
        <x:v>Current individual rate.</x:v>
      </x:c>
      <x:c r="J158" s="339"/>
      <x:c r="K158" s="339"/>
      <x:c r="L158" s="339"/>
      <x:c r="M158" s="339"/>
      <x:c r="N158" s="339"/>
      <x:c r="O158" s="339"/>
      <x:c r="P158" s="339"/>
      <x:c r="Q158" s="339"/>
      <x:c r="R158" s="339"/>
      <x:c r="S158" s="339"/>
      <x:c r="T158" s="339"/>
      <x:c r="U158" s="1194"/>
      <x:c r="V158" s="1194"/>
      <x:c r="W158" s="1194"/>
      <x:c r="X158" s="1194"/>
      <x:c r="Y158" s="339"/>
      <x:c r="Z158" s="339"/>
    </x:row>
    <x:row r="159">
      <x:c r="A159" s="28" t="str">
        <x:v>Tax and ACC</x:v>
      </x:c>
      <x:c r="B159" s="28" t="str">
        <x:v>Income-tax threshold 3</x:v>
      </x:c>
      <x:c r="C159" s="28" t="str">
        <x:v>NZD/year</x:v>
      </x:c>
      <x:c r="D159" s="888" t="n">
        <x:v>78100</x:v>
      </x:c>
      <x:c r="E159" s="888" t="n">
        <x:v>78100</x:v>
      </x:c>
      <x:c r="F159" s="888" t="n">
        <x:v>78100</x:v>
      </x:c>
      <x:c r="G159" s="28" t="str">
        <x:v>S42</x:v>
      </x:c>
      <x:c r="H159" s="28" t="str">
        <x:v>Official 2026 rate</x:v>
      </x:c>
      <x:c r="I159" s="28" t="str">
        <x:v>Taxable income upper bound.</x:v>
      </x:c>
      <x:c r="J159" s="339"/>
      <x:c r="K159" s="339"/>
      <x:c r="L159" s="339"/>
      <x:c r="M159" s="339"/>
      <x:c r="N159" s="339"/>
      <x:c r="O159" s="339"/>
      <x:c r="P159" s="339"/>
      <x:c r="Q159" s="339"/>
      <x:c r="R159" s="339"/>
      <x:c r="S159" s="339"/>
      <x:c r="T159" s="339"/>
      <x:c r="U159" s="1194"/>
      <x:c r="V159" s="1194"/>
      <x:c r="W159" s="1194"/>
      <x:c r="X159" s="1194"/>
      <x:c r="Y159" s="339"/>
      <x:c r="Z159" s="339"/>
    </x:row>
    <x:row r="160">
      <x:c r="A160" s="28" t="str">
        <x:v>Tax and ACC</x:v>
      </x:c>
      <x:c r="B160" s="28" t="str">
        <x:v>Income-tax rate 3</x:v>
      </x:c>
      <x:c r="C160" s="28" t="str">
        <x:v>%</x:v>
      </x:c>
      <x:c r="D160" s="885" t="n">
        <x:v>0.3</x:v>
      </x:c>
      <x:c r="E160" s="885" t="n">
        <x:v>0.3</x:v>
      </x:c>
      <x:c r="F160" s="885" t="n">
        <x:v>0.3</x:v>
      </x:c>
      <x:c r="G160" s="28" t="str">
        <x:v>S42</x:v>
      </x:c>
      <x:c r="H160" s="28" t="str">
        <x:v>Official 2026 rate</x:v>
      </x:c>
      <x:c r="I160" s="28" t="str">
        <x:v>Current individual rate.</x:v>
      </x:c>
      <x:c r="J160" s="339"/>
      <x:c r="K160" s="339"/>
      <x:c r="L160" s="339"/>
      <x:c r="M160" s="339"/>
      <x:c r="N160" s="339"/>
      <x:c r="O160" s="339"/>
      <x:c r="P160" s="339"/>
      <x:c r="Q160" s="339"/>
      <x:c r="R160" s="339"/>
      <x:c r="S160" s="339"/>
      <x:c r="T160" s="339"/>
      <x:c r="U160" s="1194"/>
      <x:c r="V160" s="1194"/>
      <x:c r="W160" s="1194"/>
      <x:c r="X160" s="1194"/>
      <x:c r="Y160" s="339"/>
      <x:c r="Z160" s="339"/>
    </x:row>
    <x:row r="161">
      <x:c r="A161" s="28" t="str">
        <x:v>Tax and ACC</x:v>
      </x:c>
      <x:c r="B161" s="28" t="str">
        <x:v>Income-tax threshold 4</x:v>
      </x:c>
      <x:c r="C161" s="28" t="str">
        <x:v>NZD/year</x:v>
      </x:c>
      <x:c r="D161" s="888" t="n">
        <x:v>180000</x:v>
      </x:c>
      <x:c r="E161" s="888" t="n">
        <x:v>180000</x:v>
      </x:c>
      <x:c r="F161" s="888" t="n">
        <x:v>180000</x:v>
      </x:c>
      <x:c r="G161" s="28" t="str">
        <x:v>S42</x:v>
      </x:c>
      <x:c r="H161" s="28" t="str">
        <x:v>Official 2026 rate</x:v>
      </x:c>
      <x:c r="I161" s="28" t="str">
        <x:v>Taxable income upper bound.</x:v>
      </x:c>
      <x:c r="J161" s="339"/>
      <x:c r="K161" s="339"/>
      <x:c r="L161" s="339"/>
      <x:c r="M161" s="339"/>
      <x:c r="N161" s="339"/>
      <x:c r="O161" s="339"/>
      <x:c r="P161" s="339"/>
      <x:c r="Q161" s="339"/>
      <x:c r="R161" s="339"/>
      <x:c r="S161" s="339"/>
      <x:c r="T161" s="339"/>
      <x:c r="U161" s="1194"/>
      <x:c r="V161" s="1194"/>
      <x:c r="W161" s="1194"/>
      <x:c r="X161" s="1194"/>
      <x:c r="Y161" s="339"/>
      <x:c r="Z161" s="339"/>
    </x:row>
    <x:row r="162">
      <x:c r="A162" s="28" t="str">
        <x:v>Tax and ACC</x:v>
      </x:c>
      <x:c r="B162" s="28" t="str">
        <x:v>Income-tax rate 4</x:v>
      </x:c>
      <x:c r="C162" s="28" t="str">
        <x:v>%</x:v>
      </x:c>
      <x:c r="D162" s="885" t="n">
        <x:v>0.33</x:v>
      </x:c>
      <x:c r="E162" s="885" t="n">
        <x:v>0.33</x:v>
      </x:c>
      <x:c r="F162" s="885" t="n">
        <x:v>0.33</x:v>
      </x:c>
      <x:c r="G162" s="28" t="str">
        <x:v>S42</x:v>
      </x:c>
      <x:c r="H162" s="28" t="str">
        <x:v>Official 2026 rate</x:v>
      </x:c>
      <x:c r="I162" s="28" t="str">
        <x:v>Current individual rate.</x:v>
      </x:c>
      <x:c r="J162" s="339"/>
      <x:c r="K162" s="339"/>
      <x:c r="L162" s="339"/>
      <x:c r="M162" s="339"/>
      <x:c r="N162" s="339"/>
      <x:c r="O162" s="339"/>
      <x:c r="P162" s="339"/>
      <x:c r="Q162" s="339"/>
      <x:c r="R162" s="339"/>
      <x:c r="S162" s="339"/>
      <x:c r="T162" s="339"/>
      <x:c r="U162" s="1194"/>
      <x:c r="V162" s="1194"/>
      <x:c r="W162" s="1194"/>
      <x:c r="X162" s="1194"/>
      <x:c r="Y162" s="339"/>
      <x:c r="Z162" s="339"/>
    </x:row>
    <x:row r="163">
      <x:c r="A163" s="28" t="str">
        <x:v>Tax and ACC</x:v>
      </x:c>
      <x:c r="B163" s="28" t="str">
        <x:v>Income-tax rate 5</x:v>
      </x:c>
      <x:c r="C163" s="28" t="str">
        <x:v>%</x:v>
      </x:c>
      <x:c r="D163" s="885" t="n">
        <x:v>0.39</x:v>
      </x:c>
      <x:c r="E163" s="885" t="n">
        <x:v>0.39</x:v>
      </x:c>
      <x:c r="F163" s="885" t="n">
        <x:v>0.39</x:v>
      </x:c>
      <x:c r="G163" s="28" t="str">
        <x:v>S42</x:v>
      </x:c>
      <x:c r="H163" s="28" t="str">
        <x:v>Official 2026 rate</x:v>
      </x:c>
      <x:c r="I163" s="28" t="str">
        <x:v>Taxable income above $180,000.</x:v>
      </x:c>
      <x:c r="J163" s="339"/>
      <x:c r="K163" s="339"/>
      <x:c r="L163" s="339"/>
      <x:c r="M163" s="339"/>
      <x:c r="N163" s="339"/>
      <x:c r="O163" s="339"/>
      <x:c r="P163" s="339"/>
      <x:c r="Q163" s="339"/>
      <x:c r="R163" s="339"/>
      <x:c r="S163" s="339"/>
      <x:c r="T163" s="339"/>
      <x:c r="U163" s="1194"/>
      <x:c r="V163" s="1194"/>
      <x:c r="W163" s="1194"/>
      <x:c r="X163" s="1194"/>
      <x:c r="Y163" s="339"/>
      <x:c r="Z163" s="339"/>
    </x:row>
    <x:row r="164">
      <x:c r="A164" s="28" t="str">
        <x:v>Tax and ACC</x:v>
      </x:c>
      <x:c r="B164" s="28" t="str">
        <x:v>ACC earners levy</x:v>
      </x:c>
      <x:c r="C164" s="28" t="str">
        <x:v>%</x:v>
      </x:c>
      <x:c r="D164" s="885" t="n">
        <x:v>0.0175</x:v>
      </x:c>
      <x:c r="E164" s="885" t="n">
        <x:v>0.0175</x:v>
      </x:c>
      <x:c r="F164" s="885" t="n">
        <x:v>0.0175</x:v>
      </x:c>
      <x:c r="G164" s="28" t="str">
        <x:v>S43</x:v>
      </x:c>
      <x:c r="H164" s="28" t="str">
        <x:v>Official 2026/27 rate</x:v>
      </x:c>
      <x:c r="I164" s="28" t="str">
        <x:v>Applied up to the maximum liable earnings.</x:v>
      </x:c>
      <x:c r="J164" s="339"/>
      <x:c r="K164" s="339"/>
      <x:c r="L164" s="339"/>
      <x:c r="M164" s="339"/>
      <x:c r="N164" s="339"/>
      <x:c r="O164" s="339"/>
      <x:c r="P164" s="339"/>
      <x:c r="Q164" s="339"/>
      <x:c r="R164" s="339"/>
      <x:c r="S164" s="339"/>
      <x:c r="T164" s="339"/>
      <x:c r="U164" s="1194"/>
      <x:c r="V164" s="1194"/>
      <x:c r="W164" s="1194"/>
      <x:c r="X164" s="1194"/>
      <x:c r="Y164" s="339"/>
      <x:c r="Z164" s="339"/>
    </x:row>
    <x:row r="165">
      <x:c r="A165" s="28" t="str">
        <x:v>Tax and ACC</x:v>
      </x:c>
      <x:c r="B165" s="28" t="str">
        <x:v>ACC maximum liable earnings</x:v>
      </x:c>
      <x:c r="C165" s="28" t="str">
        <x:v>NZD/year</x:v>
      </x:c>
      <x:c r="D165" s="888" t="n">
        <x:v>156641</x:v>
      </x:c>
      <x:c r="E165" s="888" t="n">
        <x:v>156641</x:v>
      </x:c>
      <x:c r="F165" s="888" t="n">
        <x:v>156641</x:v>
      </x:c>
      <x:c r="G165" s="28" t="str">
        <x:v>S43</x:v>
      </x:c>
      <x:c r="H165" s="28" t="str">
        <x:v>Official 2026/27 threshold</x:v>
      </x:c>
      <x:c r="I165" s="28" t="str">
        <x:v>Maximum earnings subject to the earners levy.</x:v>
      </x:c>
      <x:c r="J165" s="339"/>
      <x:c r="K165" s="339"/>
      <x:c r="L165" s="339"/>
      <x:c r="M165" s="339"/>
      <x:c r="N165" s="339"/>
      <x:c r="O165" s="339"/>
      <x:c r="P165" s="339"/>
      <x:c r="Q165" s="339"/>
      <x:c r="R165" s="339"/>
      <x:c r="S165" s="339"/>
      <x:c r="T165" s="339"/>
      <x:c r="U165" s="1194"/>
      <x:c r="V165" s="1194"/>
      <x:c r="W165" s="1194"/>
      <x:c r="X165" s="1194"/>
      <x:c r="Y165" s="339"/>
      <x:c r="Z165" s="339"/>
    </x:row>
    <x:row r="166">
      <x:c r="A166" s="890" t="str">
        <x:v>Delivery design</x:v>
      </x:c>
      <x:c r="B166" s="890" t="str">
        <x:v>Universal-core payment proportion</x:v>
      </x:c>
      <x:c r="C166" s="889" t="str">
        <x:v>% of mature payment</x:v>
      </x:c>
      <x:c r="D166" s="892" t="n">
        <x:v>0.4</x:v>
      </x:c>
      <x:c r="E166" s="892" t="n">
        <x:v>0.5</x:v>
      </x:c>
      <x:c r="F166" s="892" t="n">
        <x:v>0.6</x:v>
      </x:c>
      <x:c r="G166" s="889" t="str">
        <x:v>A20</x:v>
      </x:c>
      <x:c r="H166" s="889" t="str">
        <x:v>Scenario assumption</x:v>
      </x:c>
      <x:c r="I166" s="889" t="str">
        <x:v>Core retains verified effort, immediate access and protected education capital at lower intensity.</x:v>
      </x:c>
      <x:c r="J166" s="339"/>
      <x:c r="K166" s="339"/>
      <x:c r="L166" s="339"/>
      <x:c r="M166" s="339"/>
      <x:c r="N166" s="339"/>
      <x:c r="O166" s="339"/>
      <x:c r="P166" s="339"/>
      <x:c r="Q166" s="339"/>
      <x:c r="R166" s="339"/>
      <x:c r="S166" s="339"/>
      <x:c r="T166" s="339"/>
      <x:c r="U166" s="1194"/>
      <x:c r="V166" s="1194"/>
      <x:c r="W166" s="1194"/>
      <x:c r="X166" s="1194"/>
      <x:c r="Y166" s="339"/>
      <x:c r="Z166" s="339"/>
    </x:row>
    <x:row r="167">
      <x:c r="A167" s="28" t="str">
        <x:v>Delivery design</x:v>
      </x:c>
      <x:c r="B167" s="28" t="str">
        <x:v>Universal-core non-payment cost proportion</x:v>
      </x:c>
      <x:c r="C167" s="28" t="str">
        <x:v>% of mature non-payment cost</x:v>
      </x:c>
      <x:c r="D167" s="885" t="n">
        <x:v>0.6</x:v>
      </x:c>
      <x:c r="E167" s="885" t="n">
        <x:v>0.7</x:v>
      </x:c>
      <x:c r="F167" s="885" t="n">
        <x:v>0.8</x:v>
      </x:c>
      <x:c r="G167" s="28" t="str">
        <x:v>A20</x:v>
      </x:c>
      <x:c r="H167" s="28" t="str">
        <x:v>Scenario assumption</x:v>
      </x:c>
      <x:c r="I167" s="28" t="str">
        <x:v>Baseline mentoring, pathway tools, technology and administration.</x:v>
      </x:c>
      <x:c r="J167" s="339"/>
      <x:c r="K167" s="339"/>
      <x:c r="L167" s="339"/>
      <x:c r="M167" s="339"/>
      <x:c r="N167" s="339"/>
      <x:c r="O167" s="339"/>
      <x:c r="P167" s="339"/>
      <x:c r="Q167" s="339"/>
      <x:c r="R167" s="339"/>
      <x:c r="S167" s="339"/>
      <x:c r="T167" s="339"/>
      <x:c r="U167" s="1194"/>
      <x:c r="V167" s="1194"/>
      <x:c r="W167" s="1194"/>
      <x:c r="X167" s="1194"/>
      <x:c r="Y167" s="339"/>
      <x:c r="Z167" s="339"/>
    </x:row>
    <x:row r="168">
      <x:c r="A168" s="28" t="str">
        <x:v>Delivery design</x:v>
      </x:c>
      <x:c r="B168" s="28" t="str">
        <x:v>Targeted accelerator share</x:v>
      </x:c>
      <x:c r="C168" s="28" t="str">
        <x:v>% of participants</x:v>
      </x:c>
      <x:c r="D168" s="885" t="n">
        <x:v>0.1</x:v>
      </x:c>
      <x:c r="E168" s="885" t="n">
        <x:v>0.2</x:v>
      </x:c>
      <x:c r="F168" s="885" t="n">
        <x:v>0.3</x:v>
      </x:c>
      <x:c r="G168" s="28" t="str">
        <x:v>A20</x:v>
      </x:c>
      <x:c r="H168" s="28" t="str">
        <x:v>Scenario assumption</x:v>
      </x:c>
      <x:c r="I168" s="28" t="str">
        <x:v>Additional intensity for participants with evidenced barriers or higher risk.</x:v>
      </x:c>
      <x:c r="J168" s="339"/>
      <x:c r="K168" s="339"/>
      <x:c r="L168" s="339"/>
      <x:c r="M168" s="339"/>
      <x:c r="N168" s="339"/>
      <x:c r="O168" s="339"/>
      <x:c r="P168" s="339"/>
      <x:c r="Q168" s="339"/>
      <x:c r="R168" s="339"/>
      <x:c r="S168" s="339"/>
      <x:c r="T168" s="339"/>
      <x:c r="U168" s="1194"/>
      <x:c r="V168" s="1194"/>
      <x:c r="W168" s="1194"/>
      <x:c r="X168" s="1194"/>
      <x:c r="Y168" s="339"/>
      <x:c r="Z168" s="339"/>
    </x:row>
    <x:row r="169">
      <x:c r="A169" s="28" t="str">
        <x:v>Delivery design</x:v>
      </x:c>
      <x:c r="B169" s="28" t="str">
        <x:v>Targeted accelerator incremental annual cost</x:v>
      </x:c>
      <x:c r="C169" s="28" t="str">
        <x:v>NZD/targeted participant</x:v>
      </x:c>
      <x:c r="D169" s="888" t="n">
        <x:v>2500</x:v>
      </x:c>
      <x:c r="E169" s="888" t="n">
        <x:v>4000</x:v>
      </x:c>
      <x:c r="F169" s="888" t="n">
        <x:v>6000</x:v>
      </x:c>
      <x:c r="G169" s="28" t="str">
        <x:v>A20</x:v>
      </x:c>
      <x:c r="H169" s="28" t="str">
        <x:v>Scenario assumption</x:v>
      </x:c>
      <x:c r="I169" s="28" t="str">
        <x:v>Tutoring, transport, devices, licences, tools, specialist support and matched capital.</x:v>
      </x:c>
      <x:c r="J169" s="339"/>
      <x:c r="K169" s="339"/>
      <x:c r="L169" s="339"/>
      <x:c r="M169" s="339"/>
      <x:c r="N169" s="339"/>
      <x:c r="O169" s="339"/>
      <x:c r="P169" s="339"/>
      <x:c r="Q169" s="339"/>
      <x:c r="R169" s="339"/>
      <x:c r="S169" s="339"/>
      <x:c r="T169" s="339"/>
      <x:c r="U169" s="1194"/>
      <x:c r="V169" s="1194"/>
      <x:c r="W169" s="1194"/>
      <x:c r="X169" s="1194"/>
      <x:c r="Y169" s="339"/>
      <x:c r="Z169" s="339"/>
    </x:row>
    <x:row r="170">
      <x:c r="A170" s="28" t="str">
        <x:v>Delivery design</x:v>
      </x:c>
      <x:c r="B170" s="28" t="str">
        <x:v>Universal-core NEET-benefit factor</x:v>
      </x:c>
      <x:c r="C170" s="28" t="str">
        <x:v>% of mature NEET benefit</x:v>
      </x:c>
      <x:c r="D170" s="885" t="n">
        <x:v>0.35</x:v>
      </x:c>
      <x:c r="E170" s="885" t="n">
        <x:v>0.5</x:v>
      </x:c>
      <x:c r="F170" s="885" t="n">
        <x:v>0.65</x:v>
      </x:c>
      <x:c r="G170" s="28" t="str">
        <x:v>A20</x:v>
      </x:c>
      <x:c r="H170" s="28" t="str">
        <x:v>Scenario assumption</x:v>
      </x:c>
      <x:c r="I170" s="28" t="str">
        <x:v>Core-only high-risk effect is deliberately lower than the full design.</x:v>
      </x:c>
      <x:c r="J170" s="339"/>
      <x:c r="K170" s="339"/>
      <x:c r="L170" s="339"/>
      <x:c r="M170" s="339"/>
      <x:c r="N170" s="339"/>
      <x:c r="O170" s="339"/>
      <x:c r="P170" s="339"/>
      <x:c r="Q170" s="339"/>
      <x:c r="R170" s="339"/>
      <x:c r="S170" s="339"/>
      <x:c r="T170" s="339"/>
      <x:c r="U170" s="1194"/>
      <x:c r="V170" s="1194"/>
      <x:c r="W170" s="1194"/>
      <x:c r="X170" s="1194"/>
      <x:c r="Y170" s="339"/>
      <x:c r="Z170" s="339"/>
    </x:row>
    <x:row r="171">
      <x:c r="A171" s="28" t="str">
        <x:v>Delivery design</x:v>
      </x:c>
      <x:c r="B171" s="28" t="str">
        <x:v>Core plus accelerator NEET-benefit factor</x:v>
      </x:c>
      <x:c r="C171" s="28" t="str">
        <x:v>% of mature NEET benefit</x:v>
      </x:c>
      <x:c r="D171" s="885" t="n">
        <x:v>0.75</x:v>
      </x:c>
      <x:c r="E171" s="885" t="n">
        <x:v>1</x:v>
      </x:c>
      <x:c r="F171" s="885" t="n">
        <x:v>1.1</x:v>
      </x:c>
      <x:c r="G171" s="28" t="str">
        <x:v>A20</x:v>
      </x:c>
      <x:c r="H171" s="28" t="str">
        <x:v>Scenario assumption — material uncertainty</x:v>
      </x:c>
      <x:c r="I171" s="28" t="str">
        <x:v>Central case retains 100% of the mature high-risk benefit. This is unproven and is tested at 25%, 50%, 75% and 100% in Delivery Scenarios.</x:v>
      </x:c>
      <x:c r="J171" s="339"/>
      <x:c r="K171" s="339"/>
      <x:c r="L171" s="339"/>
      <x:c r="M171" s="339"/>
      <x:c r="N171" s="339"/>
      <x:c r="O171" s="339"/>
      <x:c r="P171" s="339"/>
      <x:c r="Q171" s="339"/>
      <x:c r="R171" s="339"/>
      <x:c r="S171" s="339"/>
      <x:c r="T171" s="339"/>
      <x:c r="U171" s="1194"/>
      <x:c r="V171" s="1194"/>
      <x:c r="W171" s="1194"/>
      <x:c r="X171" s="1194"/>
      <x:c r="Y171" s="339"/>
      <x:c r="Z171" s="339"/>
    </x:row>
    <x:row r="172">
      <x:c r="A172" s="28" t="str">
        <x:v>Delivery design</x:v>
      </x:c>
      <x:c r="B172" s="28" t="str">
        <x:v>Universal-core earnings affected share</x:v>
      </x:c>
      <x:c r="C172" s="28" t="str">
        <x:v>% of broad cohort</x:v>
      </x:c>
      <x:c r="D172" s="885" t="n">
        <x:v>0.3</x:v>
      </x:c>
      <x:c r="E172" s="885" t="n">
        <x:v>0.45</x:v>
      </x:c>
      <x:c r="F172" s="885" t="n">
        <x:v>0.6</x:v>
      </x:c>
      <x:c r="G172" s="28" t="str">
        <x:v>A20</x:v>
      </x:c>
      <x:c r="H172" s="28" t="str">
        <x:v>Scenario assumption</x:v>
      </x:c>
      <x:c r="I172" s="28" t="str">
        <x:v>Broad but lower-intensity mechanism.</x:v>
      </x:c>
      <x:c r="J172" s="339"/>
      <x:c r="K172" s="339"/>
      <x:c r="L172" s="339"/>
      <x:c r="M172" s="339"/>
      <x:c r="N172" s="339"/>
      <x:c r="O172" s="339"/>
      <x:c r="P172" s="339"/>
      <x:c r="Q172" s="339"/>
      <x:c r="R172" s="339"/>
      <x:c r="S172" s="339"/>
      <x:c r="T172" s="339"/>
      <x:c r="U172" s="1194"/>
      <x:c r="V172" s="1194"/>
      <x:c r="W172" s="1194"/>
      <x:c r="X172" s="1194"/>
      <x:c r="Y172" s="339"/>
      <x:c r="Z172" s="339"/>
    </x:row>
    <x:row r="173">
      <x:c r="A173" s="28" t="str">
        <x:v>Delivery design</x:v>
      </x:c>
      <x:c r="B173" s="28" t="str">
        <x:v>Core plus accelerator earnings affected share</x:v>
      </x:c>
      <x:c r="C173" s="28" t="str">
        <x:v>% of broad cohort</x:v>
      </x:c>
      <x:c r="D173" s="885" t="n">
        <x:v>0.4</x:v>
      </x:c>
      <x:c r="E173" s="885" t="n">
        <x:v>0.55</x:v>
      </x:c>
      <x:c r="F173" s="885" t="n">
        <x:v>0.7</x:v>
      </x:c>
      <x:c r="G173" s="28" t="str">
        <x:v>A20</x:v>
      </x:c>
      <x:c r="H173" s="28" t="str">
        <x:v>Scenario assumption</x:v>
      </x:c>
      <x:c r="I173" s="28" t="str">
        <x:v>Core plus additional targeted intensity.</x:v>
      </x:c>
      <x:c r="J173" s="339"/>
      <x:c r="K173" s="339"/>
      <x:c r="L173" s="339"/>
      <x:c r="M173" s="339"/>
      <x:c r="N173" s="339"/>
      <x:c r="O173" s="339"/>
      <x:c r="P173" s="339"/>
      <x:c r="Q173" s="339"/>
      <x:c r="R173" s="339"/>
      <x:c r="S173" s="339"/>
      <x:c r="T173" s="339"/>
      <x:c r="U173" s="1194"/>
      <x:c r="V173" s="1194"/>
      <x:c r="W173" s="1194"/>
      <x:c r="X173" s="1194"/>
      <x:c r="Y173" s="339"/>
      <x:c r="Z173" s="339"/>
    </x:row>
    <x:row r="174">
      <x:c r="A174" s="28" t="str">
        <x:v>Delivery design</x:v>
      </x:c>
      <x:c r="B174" s="28" t="str">
        <x:v>Targeted-pilot earnings affected share</x:v>
      </x:c>
      <x:c r="C174" s="28" t="str">
        <x:v>% of pilot broad cohort</x:v>
      </x:c>
      <x:c r="D174" s="885" t="n">
        <x:v>0.45</x:v>
      </x:c>
      <x:c r="E174" s="885" t="n">
        <x:v>0.6</x:v>
      </x:c>
      <x:c r="F174" s="885" t="n">
        <x:v>0.75</x:v>
      </x:c>
      <x:c r="G174" s="28" t="str">
        <x:v>A20</x:v>
      </x:c>
      <x:c r="H174" s="28" t="str">
        <x:v>Scenario assumption</x:v>
      </x:c>
      <x:c r="I174" s="28" t="str">
        <x:v>Higher intensity applied to a bounded cohort.</x:v>
      </x:c>
      <x:c r="J174" s="339"/>
      <x:c r="K174" s="339"/>
      <x:c r="L174" s="339"/>
      <x:c r="M174" s="339"/>
      <x:c r="N174" s="339"/>
      <x:c r="O174" s="339"/>
      <x:c r="P174" s="339"/>
      <x:c r="Q174" s="339"/>
      <x:c r="R174" s="339"/>
      <x:c r="S174" s="339"/>
      <x:c r="T174" s="339"/>
      <x:c r="U174" s="1194"/>
      <x:c r="V174" s="1194"/>
      <x:c r="W174" s="1194"/>
      <x:c r="X174" s="1194"/>
      <x:c r="Y174" s="339"/>
      <x:c r="Z174" s="339"/>
    </x:row>
    <x:row r="175">
      <x:c r="A175" s="28" t="str">
        <x:v>Delivery design</x:v>
      </x:c>
      <x:c r="B175" s="28" t="str">
        <x:v>Mature-national earnings affected share</x:v>
      </x:c>
      <x:c r="C175" s="28" t="str">
        <x:v>% of broad cohort</x:v>
      </x:c>
      <x:c r="D175" s="885" t="n">
        <x:v>0.35</x:v>
      </x:c>
      <x:c r="E175" s="885" t="n">
        <x:v>0.5</x:v>
      </x:c>
      <x:c r="F175" s="885" t="n">
        <x:v>0.7</x:v>
      </x:c>
      <x:c r="G175" s="28" t="str">
        <x:v>A20</x:v>
      </x:c>
      <x:c r="H175" s="28" t="str">
        <x:v>Scenario assumption</x:v>
      </x:c>
      <x:c r="I175" s="28" t="str">
        <x:v>Central mature design sensitivity.</x:v>
      </x:c>
      <x:c r="J175" s="339"/>
      <x:c r="K175" s="339"/>
      <x:c r="L175" s="339"/>
      <x:c r="M175" s="339"/>
      <x:c r="N175" s="339"/>
      <x:c r="O175" s="339"/>
      <x:c r="P175" s="339"/>
      <x:c r="Q175" s="339"/>
      <x:c r="R175" s="339"/>
      <x:c r="S175" s="339"/>
      <x:c r="T175" s="339"/>
      <x:c r="U175" s="1194"/>
      <x:c r="V175" s="1194"/>
      <x:c r="W175" s="1194"/>
      <x:c r="X175" s="1194"/>
      <x:c r="Y175" s="339"/>
      <x:c r="Z175" s="339"/>
    </x:row>
    <x:row r="176">
      <x:c r="A176" s="890" t="str">
        <x:v>Industry funding</x:v>
      </x:c>
      <x:c r="B176" s="890" t="str">
        <x:v>Committed employer pooled contribution</x:v>
      </x:c>
      <x:c r="C176" s="889" t="str">
        <x:v>NZD/year</x:v>
      </x:c>
      <x:c r="D176" s="891" t="n">
        <x:v>0</x:v>
      </x:c>
      <x:c r="E176" s="891" t="n">
        <x:v>0</x:v>
      </x:c>
      <x:c r="F176" s="891" t="n">
        <x:v>0</x:v>
      </x:c>
      <x:c r="G176" s="889" t="str">
        <x:v>A21</x:v>
      </x:c>
      <x:c r="H176" s="889" t="str">
        <x:v>No commitment</x:v>
      </x:c>
      <x:c r="I176" s="889" t="str">
        <x:v>Central model includes no uncommitted employer funding.</x:v>
      </x:c>
      <x:c r="J176" s="339"/>
      <x:c r="K176" s="339"/>
      <x:c r="L176" s="339"/>
      <x:c r="M176" s="339"/>
      <x:c r="N176" s="339"/>
      <x:c r="O176" s="339"/>
      <x:c r="P176" s="339"/>
      <x:c r="Q176" s="339"/>
      <x:c r="R176" s="339"/>
      <x:c r="S176" s="339"/>
      <x:c r="T176" s="339"/>
      <x:c r="U176" s="1194"/>
      <x:c r="V176" s="1194"/>
      <x:c r="W176" s="1194"/>
      <x:c r="X176" s="1194"/>
      <x:c r="Y176" s="339"/>
      <x:c r="Z176" s="339"/>
    </x:row>
    <x:row r="177">
      <x:c r="A177" s="28" t="str">
        <x:v>Industry funding</x:v>
      </x:c>
      <x:c r="B177" s="28" t="str">
        <x:v>Committed sector-organisation pooled contribution</x:v>
      </x:c>
      <x:c r="C177" s="28" t="str">
        <x:v>NZD/year</x:v>
      </x:c>
      <x:c r="D177" s="888" t="n">
        <x:v>0</x:v>
      </x:c>
      <x:c r="E177" s="888" t="n">
        <x:v>0</x:v>
      </x:c>
      <x:c r="F177" s="888" t="n">
        <x:v>0</x:v>
      </x:c>
      <x:c r="G177" s="28" t="str">
        <x:v>A21</x:v>
      </x:c>
      <x:c r="H177" s="28" t="str">
        <x:v>No commitment</x:v>
      </x:c>
      <x:c r="I177" s="28" t="str">
        <x:v>Central model includes no uncommitted sector funding.</x:v>
      </x:c>
      <x:c r="J177" s="339"/>
      <x:c r="K177" s="339"/>
      <x:c r="L177" s="339"/>
      <x:c r="M177" s="339"/>
      <x:c r="N177" s="339"/>
      <x:c r="O177" s="339"/>
      <x:c r="P177" s="339"/>
      <x:c r="Q177" s="339"/>
      <x:c r="R177" s="339"/>
      <x:c r="S177" s="339"/>
      <x:c r="T177" s="339"/>
      <x:c r="U177" s="1194"/>
      <x:c r="V177" s="1194"/>
      <x:c r="W177" s="1194"/>
      <x:c r="X177" s="1194"/>
      <x:c r="Y177" s="339"/>
      <x:c r="Z177" s="339"/>
    </x:row>
    <x:row r="178">
      <x:c r="A178" s="28" t="str">
        <x:v>Industry funding</x:v>
      </x:c>
      <x:c r="B178" s="28" t="str">
        <x:v>Committed iwi-entity pooled contribution</x:v>
      </x:c>
      <x:c r="C178" s="28" t="str">
        <x:v>NZD/year</x:v>
      </x:c>
      <x:c r="D178" s="888" t="n">
        <x:v>0</x:v>
      </x:c>
      <x:c r="E178" s="888" t="n">
        <x:v>0</x:v>
      </x:c>
      <x:c r="F178" s="888" t="n">
        <x:v>0</x:v>
      </x:c>
      <x:c r="G178" s="28" t="str">
        <x:v>A21</x:v>
      </x:c>
      <x:c r="H178" s="28" t="str">
        <x:v>No commitment</x:v>
      </x:c>
      <x:c r="I178" s="28" t="str">
        <x:v>Central model includes no uncommitted iwi funding.</x:v>
      </x:c>
      <x:c r="J178" s="339"/>
      <x:c r="K178" s="339"/>
      <x:c r="L178" s="339"/>
      <x:c r="M178" s="339"/>
      <x:c r="N178" s="339"/>
      <x:c r="O178" s="339"/>
      <x:c r="P178" s="339"/>
      <x:c r="Q178" s="339"/>
      <x:c r="R178" s="339"/>
      <x:c r="S178" s="339"/>
      <x:c r="T178" s="339"/>
      <x:c r="U178" s="1194"/>
      <x:c r="V178" s="1194"/>
      <x:c r="W178" s="1194"/>
      <x:c r="X178" s="1194"/>
      <x:c r="Y178" s="339"/>
      <x:c r="Z178" s="339"/>
    </x:row>
    <x:row r="179">
      <x:c r="A179" s="28" t="str">
        <x:v>Industry funding</x:v>
      </x:c>
      <x:c r="B179" s="28" t="str">
        <x:v>Committed philanthropic pooled contribution</x:v>
      </x:c>
      <x:c r="C179" s="28" t="str">
        <x:v>NZD/year</x:v>
      </x:c>
      <x:c r="D179" s="888" t="n">
        <x:v>0</x:v>
      </x:c>
      <x:c r="E179" s="888" t="n">
        <x:v>0</x:v>
      </x:c>
      <x:c r="F179" s="888" t="n">
        <x:v>0</x:v>
      </x:c>
      <x:c r="G179" s="28" t="str">
        <x:v>A21</x:v>
      </x:c>
      <x:c r="H179" s="28" t="str">
        <x:v>No commitment</x:v>
      </x:c>
      <x:c r="I179" s="28" t="str">
        <x:v>Central model includes no uncommitted philanthropic funding.</x:v>
      </x:c>
      <x:c r="J179" s="339"/>
      <x:c r="K179" s="339"/>
      <x:c r="L179" s="339"/>
      <x:c r="M179" s="339"/>
      <x:c r="N179" s="339"/>
      <x:c r="O179" s="339"/>
      <x:c r="P179" s="339"/>
      <x:c r="Q179" s="339"/>
      <x:c r="R179" s="339"/>
      <x:c r="S179" s="339"/>
      <x:c r="T179" s="339"/>
      <x:c r="U179" s="1194"/>
      <x:c r="V179" s="1194"/>
      <x:c r="W179" s="1194"/>
      <x:c r="X179" s="1194"/>
      <x:c r="Y179" s="339"/>
      <x:c r="Z179" s="339"/>
    </x:row>
    <x:row r="180">
      <x:c r="A180" s="28" t="str">
        <x:v>Industry funding</x:v>
      </x:c>
      <x:c r="B180" s="28" t="str">
        <x:v>Committed tertiary / training-provider contribution</x:v>
      </x:c>
      <x:c r="C180" s="28" t="str">
        <x:v>NZD/year</x:v>
      </x:c>
      <x:c r="D180" s="888" t="n">
        <x:v>0</x:v>
      </x:c>
      <x:c r="E180" s="888" t="n">
        <x:v>0</x:v>
      </x:c>
      <x:c r="F180" s="888" t="n">
        <x:v>0</x:v>
      </x:c>
      <x:c r="G180" s="28" t="str">
        <x:v>A21</x:v>
      </x:c>
      <x:c r="H180" s="28" t="str">
        <x:v>No commitment</x:v>
      </x:c>
      <x:c r="I180" s="28" t="str">
        <x:v>Central model includes no uncommitted provider funding.</x:v>
      </x:c>
      <x:c r="J180" s="339"/>
      <x:c r="K180" s="339"/>
      <x:c r="L180" s="339"/>
      <x:c r="M180" s="339"/>
      <x:c r="N180" s="339"/>
      <x:c r="O180" s="339"/>
      <x:c r="P180" s="339"/>
      <x:c r="Q180" s="339"/>
      <x:c r="R180" s="339"/>
      <x:c r="S180" s="339"/>
      <x:c r="T180" s="339"/>
      <x:c r="U180" s="1194"/>
      <x:c r="V180" s="1194"/>
      <x:c r="W180" s="1194"/>
      <x:c r="X180" s="1194"/>
      <x:c r="Y180" s="339"/>
      <x:c r="Z180" s="339"/>
    </x:row>
    <x:row r="181">
      <x:c r="A181" s="890" t="str">
        <x:v>Stage-gate thresholds</x:v>
      </x:c>
      <x:c r="B181" s="890" t="str">
        <x:v>Cost per additional regular attendee</x:v>
      </x:c>
      <x:c r="C181" s="889" t="str">
        <x:v>NZD/outcome</x:v>
      </x:c>
      <x:c r="D181" s="891" t="n">
        <x:v>15000</x:v>
      </x:c>
      <x:c r="E181" s="891" t="n">
        <x:v>25000</x:v>
      </x:c>
      <x:c r="F181" s="891" t="n">
        <x:v>40000</x:v>
      </x:c>
      <x:c r="G181" s="889" t="str">
        <x:v>A22</x:v>
      </x:c>
      <x:c r="H181" s="889" t="str">
        <x:v>Provisional decision threshold</x:v>
      </x:c>
      <x:c r="I181" s="889" t="str">
        <x:v>Requires Treasury and evaluator agreement in Stage 0.</x:v>
      </x:c>
      <x:c r="J181" s="339"/>
      <x:c r="K181" s="339"/>
      <x:c r="L181" s="339"/>
      <x:c r="M181" s="339"/>
      <x:c r="N181" s="339"/>
      <x:c r="O181" s="339"/>
      <x:c r="P181" s="339"/>
      <x:c r="Q181" s="339"/>
      <x:c r="R181" s="339"/>
      <x:c r="S181" s="339"/>
      <x:c r="T181" s="339"/>
      <x:c r="U181" s="1194"/>
      <x:c r="V181" s="1194"/>
      <x:c r="W181" s="1194"/>
      <x:c r="X181" s="1194"/>
      <x:c r="Y181" s="339"/>
      <x:c r="Z181" s="339"/>
    </x:row>
    <x:row r="182">
      <x:c r="A182" s="28" t="str">
        <x:v>Stage-gate thresholds</x:v>
      </x:c>
      <x:c r="B182" s="28" t="str">
        <x:v>Cost per additional qualification</x:v>
      </x:c>
      <x:c r="C182" s="28" t="str">
        <x:v>NZD/outcome</x:v>
      </x:c>
      <x:c r="D182" s="888" t="n">
        <x:v>50000</x:v>
      </x:c>
      <x:c r="E182" s="888" t="n">
        <x:v>75000</x:v>
      </x:c>
      <x:c r="F182" s="888" t="n">
        <x:v>100000</x:v>
      </x:c>
      <x:c r="G182" s="28" t="str">
        <x:v>A22</x:v>
      </x:c>
      <x:c r="H182" s="28" t="str">
        <x:v>Provisional decision threshold</x:v>
      </x:c>
      <x:c r="I182" s="28" t="str">
        <x:v>Applies to additional Level 2, Level 3 or equivalent completions.</x:v>
      </x:c>
      <x:c r="J182" s="339"/>
      <x:c r="K182" s="339"/>
      <x:c r="L182" s="339"/>
      <x:c r="M182" s="339"/>
      <x:c r="N182" s="339"/>
      <x:c r="O182" s="339"/>
      <x:c r="P182" s="339"/>
      <x:c r="Q182" s="339"/>
      <x:c r="R182" s="339"/>
      <x:c r="S182" s="339"/>
      <x:c r="T182" s="339"/>
      <x:c r="U182" s="1194"/>
      <x:c r="V182" s="1194"/>
      <x:c r="W182" s="1194"/>
      <x:c r="X182" s="1194"/>
      <x:c r="Y182" s="339"/>
      <x:c r="Z182" s="339"/>
    </x:row>
    <x:row r="183">
      <x:c r="A183" s="28" t="str">
        <x:v>Stage-gate thresholds</x:v>
      </x:c>
      <x:c r="B183" s="28" t="str">
        <x:v>Cost per successful transition</x:v>
      </x:c>
      <x:c r="C183" s="28" t="str">
        <x:v>NZD/outcome</x:v>
      </x:c>
      <x:c r="D183" s="888" t="n">
        <x:v>35000</x:v>
      </x:c>
      <x:c r="E183" s="888" t="n">
        <x:v>50000</x:v>
      </x:c>
      <x:c r="F183" s="888" t="n">
        <x:v>75000</x:v>
      </x:c>
      <x:c r="G183" s="28" t="str">
        <x:v>A22</x:v>
      </x:c>
      <x:c r="H183" s="28" t="str">
        <x:v>Provisional decision threshold</x:v>
      </x:c>
      <x:c r="I183" s="28" t="str">
        <x:v>Education, apprenticeship, vocational or sustained employment transition.</x:v>
      </x:c>
      <x:c r="J183" s="339"/>
      <x:c r="K183" s="339"/>
      <x:c r="L183" s="339"/>
      <x:c r="M183" s="339"/>
      <x:c r="N183" s="339"/>
      <x:c r="O183" s="339"/>
      <x:c r="P183" s="339"/>
      <x:c r="Q183" s="339"/>
      <x:c r="R183" s="339"/>
      <x:c r="S183" s="339"/>
      <x:c r="T183" s="339"/>
      <x:c r="U183" s="1194"/>
      <x:c r="V183" s="1194"/>
      <x:c r="W183" s="1194"/>
      <x:c r="X183" s="1194"/>
      <x:c r="Y183" s="339"/>
      <x:c r="Z183" s="339"/>
    </x:row>
    <x:row r="184">
      <x:c r="A184" s="28" t="str">
        <x:v>Stage-gate thresholds</x:v>
      </x:c>
      <x:c r="B184" s="28" t="str">
        <x:v>Cost per qualification / apprenticeship completion</x:v>
      </x:c>
      <x:c r="C184" s="28" t="str">
        <x:v>NZD/outcome</x:v>
      </x:c>
      <x:c r="D184" s="888" t="n">
        <x:v>75000</x:v>
      </x:c>
      <x:c r="E184" s="888" t="n">
        <x:v>100000</x:v>
      </x:c>
      <x:c r="F184" s="888" t="n">
        <x:v>150000</x:v>
      </x:c>
      <x:c r="G184" s="28" t="str">
        <x:v>A22</x:v>
      </x:c>
      <x:c r="H184" s="28" t="str">
        <x:v>Provisional decision threshold</x:v>
      </x:c>
      <x:c r="I184" s="28" t="str">
        <x:v>Completion rather than entry.</x:v>
      </x:c>
      <x:c r="J184" s="339"/>
      <x:c r="K184" s="339"/>
      <x:c r="L184" s="339"/>
      <x:c r="M184" s="339"/>
      <x:c r="N184" s="339"/>
      <x:c r="O184" s="339"/>
      <x:c r="P184" s="339"/>
      <x:c r="Q184" s="339"/>
      <x:c r="R184" s="339"/>
      <x:c r="S184" s="339"/>
      <x:c r="T184" s="339"/>
      <x:c r="U184" s="1194"/>
      <x:c r="V184" s="1194"/>
      <x:c r="W184" s="1194"/>
      <x:c r="X184" s="1194"/>
      <x:c r="Y184" s="339"/>
      <x:c r="Z184" s="339"/>
    </x:row>
    <x:row r="185">
      <x:c r="A185" s="28" t="str">
        <x:v>Stage-gate thresholds</x:v>
      </x:c>
      <x:c r="B185" s="28" t="str">
        <x:v>Minimum projected lifetime social BCR</x:v>
      </x:c>
      <x:c r="C185" s="28" t="str">
        <x:v>x</x:v>
      </x:c>
      <x:c r="D185" s="887" t="n">
        <x:v>1</x:v>
      </x:c>
      <x:c r="E185" s="887" t="n">
        <x:v>1</x:v>
      </x:c>
      <x:c r="F185" s="887" t="n">
        <x:v>1</x:v>
      </x:c>
      <x:c r="G185" s="28" t="str">
        <x:v>S05;A22</x:v>
      </x:c>
      <x:c r="H185" s="28" t="str">
        <x:v>Provisional decision threshold</x:v>
      </x:c>
      <x:c r="I185" s="28" t="str">
        <x:v>National rollout should not proceed on one improved outcome alone.</x:v>
      </x:c>
      <x:c r="J185" s="339"/>
      <x:c r="K185" s="339"/>
      <x:c r="L185" s="339"/>
      <x:c r="M185" s="339"/>
      <x:c r="N185" s="339"/>
      <x:c r="O185" s="339"/>
      <x:c r="P185" s="339"/>
      <x:c r="Q185" s="339"/>
      <x:c r="R185" s="339"/>
      <x:c r="S185" s="339"/>
      <x:c r="T185" s="339"/>
      <x:c r="U185" s="1194"/>
      <x:c r="V185" s="1194"/>
      <x:c r="W185" s="1194"/>
      <x:c r="X185" s="1194"/>
      <x:c r="Y185" s="339"/>
      <x:c r="Z185" s="339"/>
    </x:row>
    <x:row r="186">
      <x:c r="A186" s="28" t="str">
        <x:v>Stage-gate thresholds</x:v>
      </x:c>
      <x:c r="B186" s="28" t="str">
        <x:v>Minimum projected Crown fiscal coverage</x:v>
      </x:c>
      <x:c r="C186" s="28" t="str">
        <x:v>x</x:v>
      </x:c>
      <x:c r="D186" s="887" t="n">
        <x:v>0.25</x:v>
      </x:c>
      <x:c r="E186" s="887" t="n">
        <x:v>0.35</x:v>
      </x:c>
      <x:c r="F186" s="887" t="n">
        <x:v>0.5</x:v>
      </x:c>
      <x:c r="G186" s="28" t="str">
        <x:v>A22</x:v>
      </x:c>
      <x:c r="H186" s="28" t="str">
        <x:v>Provisional decision threshold</x:v>
      </x:c>
      <x:c r="I186" s="28" t="str">
        <x:v>A lower fiscal return requires an explicit Cabinet judgement on non-fiscal value.</x:v>
      </x:c>
      <x:c r="J186" s="339"/>
      <x:c r="K186" s="339"/>
      <x:c r="L186" s="339"/>
      <x:c r="M186" s="339"/>
      <x:c r="N186" s="339"/>
      <x:c r="O186" s="339"/>
      <x:c r="P186" s="339"/>
      <x:c r="Q186" s="339"/>
      <x:c r="R186" s="339"/>
      <x:c r="S186" s="339"/>
      <x:c r="T186" s="339"/>
      <x:c r="U186" s="1194"/>
      <x:c r="V186" s="1194"/>
      <x:c r="W186" s="1194"/>
      <x:c r="X186" s="1194"/>
      <x:c r="Y186" s="339"/>
      <x:c r="Z186" s="339"/>
    </x:row>
    <x:row r="187">
      <x:c r="A187" s="28" t="str">
        <x:v>Stage-gate thresholds</x:v>
      </x:c>
      <x:c r="B187" s="28" t="str">
        <x:v>Minimum priority-group effect relative to overall effect</x:v>
      </x:c>
      <x:c r="C187" s="28" t="str">
        <x:v>ratio</x:v>
      </x:c>
      <x:c r="D187" s="886" t="n">
        <x:v>0.8</x:v>
      </x:c>
      <x:c r="E187" s="886" t="n">
        <x:v>0.9</x:v>
      </x:c>
      <x:c r="F187" s="886" t="n">
        <x:v>1</x:v>
      </x:c>
      <x:c r="G187" s="28" t="str">
        <x:v>A22</x:v>
      </x:c>
      <x:c r="H187" s="28" t="str">
        <x:v>Provisional equity threshold</x:v>
      </x:c>
      <x:c r="I187" s="28" t="str">
        <x:v>No material widening of outcome gaps.</x:v>
      </x:c>
      <x:c r="J187" s="339"/>
      <x:c r="K187" s="339"/>
      <x:c r="L187" s="339"/>
      <x:c r="M187" s="339"/>
      <x:c r="N187" s="339"/>
      <x:c r="O187" s="339"/>
      <x:c r="P187" s="339"/>
      <x:c r="Q187" s="339"/>
      <x:c r="R187" s="339"/>
      <x:c r="S187" s="339"/>
      <x:c r="T187" s="339"/>
      <x:c r="U187" s="1194"/>
      <x:c r="V187" s="1194"/>
      <x:c r="W187" s="1194"/>
      <x:c r="X187" s="1194"/>
      <x:c r="Y187" s="339"/>
      <x:c r="Z187" s="339"/>
    </x:row>
    <x:row r="188">
      <x:c r="A188" s="28" t="str">
        <x:v>Stage-gate thresholds</x:v>
      </x:c>
      <x:c r="B188" s="28" t="str">
        <x:v>Maximum school workload</x:v>
      </x:c>
      <x:c r="C188" s="28" t="str">
        <x:v>hours/student/year</x:v>
      </x:c>
      <x:c r="D188" s="886" t="n">
        <x:v>4</x:v>
      </x:c>
      <x:c r="E188" s="886" t="n">
        <x:v>6</x:v>
      </x:c>
      <x:c r="F188" s="886" t="n">
        <x:v>8</x:v>
      </x:c>
      <x:c r="G188" s="28" t="str">
        <x:v>A22</x:v>
      </x:c>
      <x:c r="H188" s="28" t="str">
        <x:v>Provisional implementation threshold</x:v>
      </x:c>
      <x:c r="I188" s="28" t="str">
        <x:v>Must be validated by time-and-motion evidence.</x:v>
      </x:c>
      <x:c r="J188" s="339"/>
      <x:c r="K188" s="339"/>
      <x:c r="L188" s="339"/>
      <x:c r="M188" s="339"/>
      <x:c r="N188" s="339"/>
      <x:c r="O188" s="339"/>
      <x:c r="P188" s="339"/>
      <x:c r="Q188" s="339"/>
      <x:c r="R188" s="339"/>
      <x:c r="S188" s="339"/>
      <x:c r="T188" s="339"/>
      <x:c r="U188" s="1194"/>
      <x:c r="V188" s="1194"/>
      <x:c r="W188" s="1194"/>
      <x:c r="X188" s="1194"/>
      <x:c r="Y188" s="339"/>
      <x:c r="Z188" s="339"/>
    </x:row>
    <x:row r="189">
      <x:c r="A189" s="28" t="str">
        <x:v>Stage-gate thresholds</x:v>
      </x:c>
      <x:c r="B189" s="28" t="str">
        <x:v>Maximum verified gaming / false-claim rate</x:v>
      </x:c>
      <x:c r="C189" s="28" t="str">
        <x:v>%</x:v>
      </x:c>
      <x:c r="D189" s="885" t="n">
        <x:v>0.005</x:v>
      </x:c>
      <x:c r="E189" s="885" t="n">
        <x:v>0.01</x:v>
      </x:c>
      <x:c r="F189" s="885" t="n">
        <x:v>0.02</x:v>
      </x:c>
      <x:c r="G189" s="28" t="str">
        <x:v>A22</x:v>
      </x:c>
      <x:c r="H189" s="28" t="str">
        <x:v>Provisional harm threshold</x:v>
      </x:c>
      <x:c r="I189" s="28" t="str">
        <x:v>Any systematic exploitation triggers redesign or stop.</x:v>
      </x:c>
      <x:c r="J189" s="339"/>
      <x:c r="K189" s="339"/>
      <x:c r="L189" s="339"/>
      <x:c r="M189" s="339"/>
      <x:c r="N189" s="339"/>
      <x:c r="O189" s="339"/>
      <x:c r="P189" s="339"/>
      <x:c r="Q189" s="339"/>
      <x:c r="R189" s="339"/>
      <x:c r="S189" s="339"/>
      <x:c r="T189" s="339"/>
      <x:c r="U189" s="1194"/>
      <x:c r="V189" s="1194"/>
      <x:c r="W189" s="1194"/>
      <x:c r="X189" s="1194"/>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1194"/>
      <x:c r="V190" s="1194"/>
      <x:c r="W190" s="1194"/>
      <x:c r="X190" s="1194"/>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1194"/>
      <x:c r="V191" s="1194"/>
      <x:c r="W191" s="1194"/>
      <x:c r="X191" s="1194"/>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1194"/>
      <x:c r="V192" s="1194"/>
      <x:c r="W192" s="1194"/>
      <x:c r="X192" s="1194"/>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1194"/>
      <x:c r="V193" s="1194"/>
      <x:c r="W193" s="1194"/>
      <x:c r="X193" s="1194"/>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1194"/>
      <x:c r="V194" s="1194"/>
      <x:c r="W194" s="1194"/>
      <x:c r="X194" s="1194"/>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1194"/>
      <x:c r="V195" s="1194"/>
      <x:c r="W195" s="1194"/>
      <x:c r="X195" s="1194"/>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1194"/>
      <x:c r="V196" s="1194"/>
      <x:c r="W196" s="1194"/>
      <x:c r="X196" s="1194"/>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1194"/>
      <x:c r="V197" s="1194"/>
      <x:c r="W197" s="1194"/>
      <x:c r="X197" s="1194"/>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1194"/>
      <x:c r="V198" s="1194"/>
      <x:c r="W198" s="1194"/>
      <x:c r="X198" s="1194"/>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1194"/>
      <x:c r="V199" s="1194"/>
      <x:c r="W199" s="1194"/>
      <x:c r="X199" s="1194"/>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1194"/>
      <x:c r="V200" s="1194"/>
      <x:c r="W200" s="1194"/>
      <x:c r="X200" s="1194"/>
      <x:c r="Y200" s="339"/>
      <x:c r="Z200" s="339"/>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I1"/>
    <x:mergeCell ref="A2:I2"/>
    <x:mergeCell ref="U1:X1"/>
    <x:mergeCell ref="V2:X2"/>
    <x:mergeCell ref="V3:X3"/>
    <x:mergeCell ref="V4:X4"/>
    <x:mergeCell ref="V5:X5"/>
    <x:mergeCell ref="V6:X6"/>
    <x:mergeCell ref="V7:X7"/>
  </x:mergeCells>
  <x:dataValidations count="16">
    <x:dataValidation showInputMessage="1" promptTitle="Social discount rate" prompt="Treasury-aligned non-commercial social rate. Higher rates reduce the present value of later benefits. Refresh the official source before final valuation." sqref="E15"/>
    <x:dataValidation showInputMessage="1" promptTitle="Intermediate discount sensitivity" prompt="4% real intermediate analytical sensitivity only. It must not be described as a central Treasury rate." sqref="E53"/>
    <x:dataValidation showInputMessage="1" promptTitle="High discount sensitivity" prompt="8% real high or mandatory sensitivity. Higher discounting reduces long-lived earnings and other later benefits." sqref="E16"/>
    <x:dataValidation showInputMessage="1" promptTitle="National earned proportion" prompt="Average share of the maximum participation payment earned. A higher value materially increases national cash cost. Requires behavioural evidence and payment rules." sqref="E37"/>
    <x:dataValidation showInputMessage="1" promptTitle="Affected share" prompt="Share of the broad non-overlap cohort assumed to receive an earnings effect. Higher values increase modelled benefits. This is not proven." sqref="E134"/>
    <x:dataValidation showInputMessage="1" promptTitle="Employment probability" prompt="Probability of paid employment applied to the earnings profile. Higher values increase earnings and tax benefits. Use an evidence-supported cohort estimate." sqref="E137"/>
    <x:dataValidation showInputMessage="1" promptTitle="Domestic retention" prompt="Share of effects retained in New Zealand. Higher values increase domestic social and fiscal benefits. Long-run migration evidence is required." sqref="E141"/>
    <x:dataValidation showInputMessage="1" promptTitle="Programme attribution" prompt="Share of observed outcome causally attributable to He Ara Angitū. Higher values increase benefits. Must be estimated through the pilot counterfactual." sqref="E142"/>
    <x:dataValidation showInputMessage="1" promptTitle="Persistence / fade-out" prompt="Long-run share of the programme effect retained. Higher values increase lifetime benefits. Requires follow-up evidence." sqref="E143"/>
    <x:dataValidation showInputMessage="1" promptTitle="Deadweight adjustment" prompt="Share of outcomes removed because they would occur anyway. Higher deadweight lowers modelled benefits." sqref="E144"/>
    <x:dataValidation showInputMessage="1" promptTitle="Worker displacement" prompt="Share removed for substitution of non-programme workers. Higher displacement lowers national benefits." sqref="E145"/>
    <x:dataValidation showInputMessage="1" promptTitle="General-equilibrium haircut" prompt="Adjustment for oversupply, wages, automation and capacity effects. Higher haircut lowers national benefits." sqref="E146"/>
    <x:dataValidation showInputMessage="1" promptTitle="Universal-core payment proportion" prompt="Share of mature payment retained in the lower-cost universal core. Higher values increase cost and participant payments." sqref="E166"/>
    <x:dataValidation showInputMessage="1" promptTitle="Targeted accelerator share" prompt="Share receiving additional intensive support. Higher values increase targeted cost and may affect outcomes; targeting evidence is required." sqref="E168"/>
    <x:dataValidation showInputMessage="1" promptTitle="Targeted unit cost" prompt="Annual incremental cost per targeted participant. Higher values increase scenario cost. Replace with service-design and procurement evidence." sqref="E169"/>
    <x:dataValidation showInputMessage="1" promptTitle="Retained high-risk effect" prompt="Share of mature high-risk benefit retained by core plus accelerator. Central 100% is unproven; test 25%, 50%, 75% and 100%." sqref="E171"/>
  </x:dataValidations>
  <x:pageMargins left="0.7" right="0.7" top="0.75" bottom="0.75" header="0.3" footer="0.3"/>
</x:worksheet>
</file>

<file path=xl/worksheets/sheet14.xml><?xml version="1.0" encoding="utf-8"?>
<x:worksheet xmlns:x="http://schemas.openxmlformats.org/spreadsheetml/2006/main">
  <x:sheetFormatPr defaultRowHeight="15"/>
  <x:cols>
    <x:col min="1" max="1" width="24" hidden="0" customWidth="1"/>
    <x:col min="2" max="2" width="34" hidden="0" customWidth="1"/>
    <x:col min="3" max="3" width="40" hidden="0" customWidth="1"/>
    <x:col min="4" max="4" width="12" hidden="0" customWidth="1"/>
    <x:col min="5" max="5" width="14" hidden="0" customWidth="1"/>
    <x:col min="6" max="6" width="16" hidden="0" customWidth="1"/>
    <x:col min="7" max="7" width="16" hidden="0" customWidth="1"/>
    <x:col min="8" max="8" width="16" hidden="0" customWidth="1"/>
    <x:col min="9" max="9" width="16" hidden="0" customWidth="1"/>
    <x:col min="10" max="10" width="14" hidden="0" customWidth="1"/>
    <x:col min="11" max="11" width="14" hidden="0" customWidth="1"/>
    <x:col min="12" max="12" width="20" hidden="0" customWidth="1"/>
    <x:col min="13" max="13" width="42" hidden="0" customWidth="1"/>
    <x:col min="21" max="21" width="20" hidden="0" customWidth="1"/>
    <x:col min="22" max="22" width="24" hidden="0" customWidth="1"/>
    <x:col min="23" max="23" width="24" hidden="0" customWidth="1"/>
    <x:col min="24" max="24" width="24" hidden="0" customWidth="1"/>
  </x:cols>
  <x:sheetData>
    <x:row r="1" ht="30" customHeight="1">
      <x:c r="A1" s="685" t="str">
        <x:v>Stage 0 — Year 0 Feasibility, Co-design and Business Case</x:v>
      </x:c>
      <x:c r="B1" s="685" t="str">
        <x:v>Stage 0 — Year 0 Feasibility, Co-design and Business Case</x:v>
      </x:c>
      <x:c r="C1" s="685" t="str">
        <x:v>Stage 0 — Year 0 Feasibility, Co-design and Business Case</x:v>
      </x:c>
      <x:c r="D1" s="685" t="str">
        <x:v>Stage 0 — Year 0 Feasibility, Co-design and Business Case</x:v>
      </x:c>
      <x:c r="E1" s="685" t="str">
        <x:v>Stage 0 — Year 0 Feasibility, Co-design and Business Case</x:v>
      </x:c>
      <x:c r="F1" s="685" t="str">
        <x:v>Stage 0 — Year 0 Feasibility, Co-design and Business Case</x:v>
      </x:c>
      <x:c r="G1" s="685" t="str">
        <x:v>Stage 0 — Year 0 Feasibility, Co-design and Business Case</x:v>
      </x:c>
      <x:c r="H1" s="685" t="str">
        <x:v>Stage 0 — Year 0 Feasibility, Co-design and Business Case</x:v>
      </x:c>
      <x:c r="I1" s="685" t="str">
        <x:v>Stage 0 — Year 0 Feasibility, Co-design and Business Case</x:v>
      </x:c>
      <x:c r="J1" s="685" t="str">
        <x:v>Stage 0 — Year 0 Feasibility, Co-design and Business Case</x:v>
      </x:c>
      <x:c r="K1" s="685" t="str">
        <x:v>Stage 0 — Year 0 Feasibility, Co-design and Business Case</x:v>
      </x:c>
      <x:c r="L1" s="685" t="str">
        <x:v>Stage 0 — Year 0 Feasibility, Co-design and Business Case</x:v>
      </x:c>
      <x:c r="M1" s="685" t="str">
        <x:v>Stage 0 — Year 0 Feasibility, Co-design and Business Case</x:v>
      </x:c>
      <x:c r="N1" s="339"/>
      <x:c r="O1" s="339"/>
      <x:c r="P1" s="339"/>
      <x:c r="Q1" s="339"/>
      <x:c r="R1" s="339"/>
      <x:c r="S1" s="339"/>
      <x:c r="T1" s="339"/>
      <x:c r="U1" s="1194"/>
      <x:c r="V1" s="1194"/>
      <x:c r="W1" s="1194"/>
      <x:c r="X1" s="1194"/>
      <x:c r="Y1" s="339"/>
      <x:c r="Z1" s="339"/>
    </x:row>
    <x:row r="2" ht="28" customHeight="1">
      <x:c r="A2" s="340" t="str">
        <x:v>Immediate funding request. Central estimate is a transparent planning model, not a supplier quote or appropriation-ready amount.</x:v>
      </x:c>
      <x:c r="B2" s="340" t="str">
        <x:v>Immediate funding request. Central estimate is a transparent planning model, not a supplier quote or appropriation-ready amount.</x:v>
      </x:c>
      <x:c r="C2" s="340" t="str">
        <x:v>Immediate funding request. Central estimate is a transparent planning model, not a supplier quote or appropriation-ready amount.</x:v>
      </x:c>
      <x:c r="D2" s="340" t="str">
        <x:v>Immediate funding request. Central estimate is a transparent planning model, not a supplier quote or appropriation-ready amount.</x:v>
      </x:c>
      <x:c r="E2" s="340" t="str">
        <x:v>Immediate funding request. Central estimate is a transparent planning model, not a supplier quote or appropriation-ready amount.</x:v>
      </x:c>
      <x:c r="F2" s="340" t="str">
        <x:v>Immediate funding request. Central estimate is a transparent planning model, not a supplier quote or appropriation-ready amount.</x:v>
      </x:c>
      <x:c r="G2" s="340" t="str">
        <x:v>Immediate funding request. Central estimate is a transparent planning model, not a supplier quote or appropriation-ready amount.</x:v>
      </x:c>
      <x:c r="H2" s="340" t="str">
        <x:v>Immediate funding request. Central estimate is a transparent planning model, not a supplier quote or appropriation-ready amount.</x:v>
      </x:c>
      <x:c r="I2" s="340" t="str">
        <x:v>Immediate funding request. Central estimate is a transparent planning model, not a supplier quote or appropriation-ready amount.</x:v>
      </x:c>
      <x:c r="J2" s="340" t="str">
        <x:v>Immediate funding request. Central estimate is a transparent planning model, not a supplier quote or appropriation-ready amount.</x:v>
      </x:c>
      <x:c r="K2" s="340" t="str">
        <x:v>Immediate funding request. Central estimate is a transparent planning model, not a supplier quote or appropriation-ready amount.</x:v>
      </x:c>
      <x:c r="L2" s="340" t="str">
        <x:v>Immediate funding request. Central estimate is a transparent planning model, not a supplier quote or appropriation-ready amount.</x:v>
      </x:c>
      <x:c r="M2" s="340" t="str">
        <x:v>Immediate funding request. Central estimate is a transparent planning model, not a supplier quote or appropriation-ready amount.</x:v>
      </x:c>
      <x:c r="N2" s="339"/>
      <x:c r="O2" s="339"/>
      <x:c r="P2" s="339"/>
      <x:c r="Q2" s="339"/>
      <x:c r="R2" s="339"/>
      <x:c r="S2" s="339"/>
      <x:c r="T2" s="339"/>
      <x:c r="U2" s="1195"/>
      <x:c r="V2" s="1195"/>
      <x:c r="W2" s="1195"/>
      <x:c r="X2" s="1195"/>
      <x:c r="Y2" s="339"/>
      <x:c r="Z2" s="339"/>
    </x:row>
    <x:row r="3">
      <x:c r="A3" s="28"/>
      <x:c r="B3" s="28"/>
      <x:c r="C3" s="28"/>
      <x:c r="D3" s="28"/>
      <x:c r="E3" s="28"/>
      <x:c r="F3" s="28"/>
      <x:c r="G3" s="28"/>
      <x:c r="H3" s="28"/>
      <x:c r="I3" s="28"/>
      <x:c r="J3" s="28"/>
      <x:c r="K3" s="28"/>
      <x:c r="L3" s="28"/>
      <x:c r="M3" s="28"/>
      <x:c r="N3" s="339"/>
      <x:c r="O3" s="339"/>
      <x:c r="P3" s="339"/>
      <x:c r="Q3" s="339"/>
      <x:c r="R3" s="339"/>
      <x:c r="S3" s="339"/>
      <x:c r="T3" s="339"/>
      <x:c r="U3" s="1195"/>
      <x:c r="V3" s="1195"/>
      <x:c r="W3" s="1195"/>
      <x:c r="X3" s="1195"/>
      <x:c r="Y3" s="339"/>
      <x:c r="Z3" s="339"/>
    </x:row>
    <x:row r="4" ht="28" customHeight="1">
      <x:c r="A4" s="343" t="str">
        <x:v>Cost group</x:v>
      </x:c>
      <x:c r="B4" s="343" t="str">
        <x:v>Cost item</x:v>
      </x:c>
      <x:c r="C4" s="343" t="str">
        <x:v>Transparent cost basis</x:v>
      </x:c>
      <x:c r="D4" s="343" t="str">
        <x:v>Quantity</x:v>
      </x:c>
      <x:c r="E4" s="343" t="str">
        <x:v>Unit</x:v>
      </x:c>
      <x:c r="F4" s="343" t="str">
        <x:v>Central unit cost</x:v>
      </x:c>
      <x:c r="G4" s="343" t="str">
        <x:v>Low total</x:v>
      </x:c>
      <x:c r="H4" s="343" t="str">
        <x:v>Central total</x:v>
      </x:c>
      <x:c r="I4" s="343" t="str">
        <x:v>High total</x:v>
      </x:c>
      <x:c r="J4" s="343" t="str">
        <x:v>Timing</x:v>
      </x:c>
      <x:c r="K4" s="343" t="str">
        <x:v>Source ID</x:v>
      </x:c>
      <x:c r="L4" s="343" t="str">
        <x:v>Evidence status</x:v>
      </x:c>
      <x:c r="M4" s="343" t="str">
        <x:v>Required validation</x:v>
      </x:c>
      <x:c r="N4" s="339"/>
      <x:c r="O4" s="339"/>
      <x:c r="P4" s="339"/>
      <x:c r="Q4" s="339"/>
      <x:c r="R4" s="339"/>
      <x:c r="S4" s="339"/>
      <x:c r="T4" s="339"/>
      <x:c r="U4" s="1195"/>
      <x:c r="V4" s="1195"/>
      <x:c r="W4" s="1195"/>
      <x:c r="X4" s="1195"/>
      <x:c r="Y4" s="339"/>
      <x:c r="Z4" s="339"/>
    </x:row>
    <x:row r="5" ht="21" customHeight="1">
      <x:c r="A5" s="368" t="str">
        <x:v>Programme leadership &amp; PMO</x:v>
      </x:c>
      <x:c r="B5" s="368" t="str">
        <x:v>Programme leadership &amp; PMO</x:v>
      </x:c>
      <x:c r="C5" s="368" t="str">
        <x:v>Programme leadership &amp; PMO</x:v>
      </x:c>
      <x:c r="D5" s="369" t="str">
        <x:v>Programme leadership &amp; PMO</x:v>
      </x:c>
      <x:c r="E5" s="369" t="str">
        <x:v>Programme leadership &amp; PMO</x:v>
      </x:c>
      <x:c r="F5" s="370" t="str">
        <x:v>Programme leadership &amp; PMO</x:v>
      </x:c>
      <x:c r="G5" s="371" t="str">
        <x:v>Programme leadership &amp; PMO</x:v>
      </x:c>
      <x:c r="H5" s="371" t="str">
        <x:v>Programme leadership &amp; PMO</x:v>
      </x:c>
      <x:c r="I5" s="371" t="str">
        <x:v>Programme leadership &amp; PMO</x:v>
      </x:c>
      <x:c r="J5" s="368" t="str">
        <x:v>Programme leadership &amp; PMO</x:v>
      </x:c>
      <x:c r="K5" s="368" t="str">
        <x:v>Programme leadership &amp; PMO</x:v>
      </x:c>
      <x:c r="L5" s="368" t="str">
        <x:v>Programme leadership &amp; PMO</x:v>
      </x:c>
      <x:c r="M5" s="368" t="str">
        <x:v>Programme leadership &amp; PMO</x:v>
      </x:c>
      <x:c r="N5" s="339"/>
      <x:c r="O5" s="339"/>
      <x:c r="P5" s="339"/>
      <x:c r="Q5" s="339"/>
      <x:c r="R5" s="339"/>
      <x:c r="S5" s="339"/>
      <x:c r="T5" s="339"/>
      <x:c r="U5" s="1195"/>
      <x:c r="V5" s="1195"/>
      <x:c r="W5" s="1195"/>
      <x:c r="X5" s="1195"/>
      <x:c r="Y5" s="339"/>
      <x:c r="Z5" s="339"/>
    </x:row>
    <x:row r="6">
      <x:c r="A6" s="28" t="str">
        <x:v>Programme leadership &amp; PMO</x:v>
      </x:c>
      <x:c r="B6" s="28" t="str">
        <x:v>Programme Director</x:v>
      </x:c>
      <x:c r="C6" s="28" t="str">
        <x:v>1.0 loaded FTE-year</x:v>
      </x:c>
      <x:c r="D6" s="40" t="n">
        <x:v>1</x:v>
      </x:c>
      <x:c r="E6" s="40" t="str">
        <x:v>FTE-year</x:v>
      </x:c>
      <x:c r="F6" s="48" t="n">
        <x:v>190000</x:v>
      </x:c>
      <x:c r="G6" s="372" t="n">
        <x:f>D6*F6*Assumptions!$D$9</x:f>
        <x:v>152000</x:v>
      </x:c>
      <x:c r="H6" s="372" t="n">
        <x:f>D6*F6*Assumptions!$E$9</x:f>
        <x:v>190000</x:v>
      </x:c>
      <x:c r="I6" s="372" t="n">
        <x:f>D6*F6*Assumptions!$F$9</x:f>
        <x:v>247000</x:v>
      </x:c>
      <x:c r="J6" s="28" t="str">
        <x:v>One-off</x:v>
      </x:c>
      <x:c r="K6" s="28" t="str">
        <x:v>S09;S10</x:v>
      </x:c>
      <x:c r="L6" s="28" t="str">
        <x:v>Benchmark</x:v>
      </x:c>
      <x:c r="M6" s="28" t="str">
        <x:v>Confirm host agency band and employment model.</x:v>
      </x:c>
      <x:c r="N6" s="339"/>
      <x:c r="O6" s="339"/>
      <x:c r="P6" s="339"/>
      <x:c r="Q6" s="339"/>
      <x:c r="R6" s="339"/>
      <x:c r="S6" s="339"/>
      <x:c r="T6" s="339"/>
      <x:c r="U6" s="1195"/>
      <x:c r="V6" s="1195"/>
      <x:c r="W6" s="1195"/>
      <x:c r="X6" s="1195"/>
      <x:c r="Y6" s="339"/>
      <x:c r="Z6" s="339"/>
    </x:row>
    <x:row r="7">
      <x:c r="A7" s="28" t="str">
        <x:v>Programme leadership &amp; PMO</x:v>
      </x:c>
      <x:c r="B7" s="28" t="str">
        <x:v>Delivery / PMO Manager</x:v>
      </x:c>
      <x:c r="C7" s="28" t="str">
        <x:v>1.0 loaded FTE-year</x:v>
      </x:c>
      <x:c r="D7" s="40" t="n">
        <x:v>1</x:v>
      </x:c>
      <x:c r="E7" s="40" t="str">
        <x:v>FTE-year</x:v>
      </x:c>
      <x:c r="F7" s="48" t="n">
        <x:v>165000</x:v>
      </x:c>
      <x:c r="G7" s="372" t="n">
        <x:f>D7*F7*Assumptions!$D$9</x:f>
        <x:v>132000</x:v>
      </x:c>
      <x:c r="H7" s="372" t="n">
        <x:f>D7*F7*Assumptions!$E$9</x:f>
        <x:v>165000</x:v>
      </x:c>
      <x:c r="I7" s="372" t="n">
        <x:f>D7*F7*Assumptions!$F$9</x:f>
        <x:v>214500</x:v>
      </x:c>
      <x:c r="J7" s="28" t="str">
        <x:v>One-off</x:v>
      </x:c>
      <x:c r="K7" s="28" t="str">
        <x:v>S09;S10</x:v>
      </x:c>
      <x:c r="L7" s="28" t="str">
        <x:v>Benchmark</x:v>
      </x:c>
      <x:c r="M7" s="28" t="str">
        <x:v>Confirm role design.</x:v>
      </x:c>
      <x:c r="N7" s="339"/>
      <x:c r="O7" s="339"/>
      <x:c r="P7" s="339"/>
      <x:c r="Q7" s="339"/>
      <x:c r="R7" s="339"/>
      <x:c r="S7" s="339"/>
      <x:c r="T7" s="339"/>
      <x:c r="U7" s="1195"/>
      <x:c r="V7" s="1195"/>
      <x:c r="W7" s="1195"/>
      <x:c r="X7" s="1195"/>
      <x:c r="Y7" s="339"/>
      <x:c r="Z7" s="339"/>
    </x:row>
    <x:row r="8">
      <x:c r="A8" s="28" t="str">
        <x:v>Programme leadership &amp; PMO</x:v>
      </x:c>
      <x:c r="B8" s="28" t="str">
        <x:v>Finance and Commercial Lead</x:v>
      </x:c>
      <x:c r="C8" s="28" t="str">
        <x:v>0.6 loaded FTE-year</x:v>
      </x:c>
      <x:c r="D8" s="40" t="n">
        <x:v>0.6</x:v>
      </x:c>
      <x:c r="E8" s="40" t="str">
        <x:v>FTE-year</x:v>
      </x:c>
      <x:c r="F8" s="48" t="n">
        <x:v>170000</x:v>
      </x:c>
      <x:c r="G8" s="372" t="n">
        <x:f>D8*F8*Assumptions!$D$9</x:f>
        <x:v>81600</x:v>
      </x:c>
      <x:c r="H8" s="372" t="n">
        <x:f>D8*F8*Assumptions!$E$9</x:f>
        <x:v>102000</x:v>
      </x:c>
      <x:c r="I8" s="372" t="n">
        <x:f>D8*F8*Assumptions!$F$9</x:f>
        <x:v>132600</x:v>
      </x:c>
      <x:c r="J8" s="28" t="str">
        <x:v>One-off</x:v>
      </x:c>
      <x:c r="K8" s="28" t="str">
        <x:v>S09;S12</x:v>
      </x:c>
      <x:c r="L8" s="28" t="str">
        <x:v>Benchmark</x:v>
      </x:c>
      <x:c r="M8" s="28" t="str">
        <x:v>Confirm procurement and commercial workload.</x:v>
      </x:c>
      <x:c r="N8" s="339"/>
      <x:c r="O8" s="339"/>
      <x:c r="P8" s="339"/>
      <x:c r="Q8" s="339"/>
      <x:c r="R8" s="339"/>
      <x:c r="S8" s="339"/>
      <x:c r="T8" s="339"/>
      <x:c r="U8" s="1194"/>
      <x:c r="V8" s="1194"/>
      <x:c r="W8" s="1194"/>
      <x:c r="X8" s="1194"/>
      <x:c r="Y8" s="339"/>
      <x:c r="Z8" s="339"/>
    </x:row>
    <x:row r="9">
      <x:c r="A9" s="28" t="str">
        <x:v>Programme leadership &amp; PMO</x:v>
      </x:c>
      <x:c r="B9" s="28" t="str">
        <x:v>Programme Analysts / PMO</x:v>
      </x:c>
      <x:c r="C9" s="28" t="str">
        <x:v>2.0 loaded FTE-years</x:v>
      </x:c>
      <x:c r="D9" s="40" t="n">
        <x:v>2</x:v>
      </x:c>
      <x:c r="E9" s="40" t="str">
        <x:v>FTE-year</x:v>
      </x:c>
      <x:c r="F9" s="48" t="n">
        <x:v>120000</x:v>
      </x:c>
      <x:c r="G9" s="372" t="n">
        <x:f>D9*F9*Assumptions!$D$9</x:f>
        <x:v>192000</x:v>
      </x:c>
      <x:c r="H9" s="372" t="n">
        <x:f>D9*F9*Assumptions!$E$9</x:f>
        <x:v>240000</x:v>
      </x:c>
      <x:c r="I9" s="372" t="n">
        <x:f>D9*F9*Assumptions!$F$9</x:f>
        <x:v>312000</x:v>
      </x:c>
      <x:c r="J9" s="28" t="str">
        <x:v>One-off</x:v>
      </x:c>
      <x:c r="K9" s="28" t="str">
        <x:v>S09;S12</x:v>
      </x:c>
      <x:c r="L9" s="28" t="str">
        <x:v>Benchmark</x:v>
      </x:c>
      <x:c r="M9" s="28" t="str">
        <x:v>Confirm number and grade.</x:v>
      </x:c>
      <x:c r="N9" s="339"/>
      <x:c r="O9" s="339"/>
      <x:c r="P9" s="339"/>
      <x:c r="Q9" s="339"/>
      <x:c r="R9" s="339"/>
      <x:c r="S9" s="339"/>
      <x:c r="T9" s="339"/>
      <x:c r="U9" s="1194"/>
      <x:c r="V9" s="1194"/>
      <x:c r="W9" s="1194"/>
      <x:c r="X9" s="1194"/>
      <x:c r="Y9" s="339"/>
      <x:c r="Z9" s="339"/>
    </x:row>
    <x:row r="10">
      <x:c r="A10" s="28" t="str">
        <x:v>Programme leadership &amp; PMO</x:v>
      </x:c>
      <x:c r="B10" s="28" t="str">
        <x:v>Business Support / Administration</x:v>
      </x:c>
      <x:c r="C10" s="28" t="str">
        <x:v>1.0 loaded FTE-year</x:v>
      </x:c>
      <x:c r="D10" s="40" t="n">
        <x:v>1</x:v>
      </x:c>
      <x:c r="E10" s="40" t="str">
        <x:v>FTE-year</x:v>
      </x:c>
      <x:c r="F10" s="48" t="n">
        <x:v>85000</x:v>
      </x:c>
      <x:c r="G10" s="372" t="n">
        <x:f>D10*F10*Assumptions!$D$9</x:f>
        <x:v>68000</x:v>
      </x:c>
      <x:c r="H10" s="372" t="n">
        <x:f>D10*F10*Assumptions!$E$9</x:f>
        <x:v>85000</x:v>
      </x:c>
      <x:c r="I10" s="372" t="n">
        <x:f>D10*F10*Assumptions!$F$9</x:f>
        <x:v>110500</x:v>
      </x:c>
      <x:c r="J10" s="28" t="str">
        <x:v>One-off</x:v>
      </x:c>
      <x:c r="K10" s="28" t="str">
        <x:v>S09;S11</x:v>
      </x:c>
      <x:c r="L10" s="28" t="str">
        <x:v>Benchmark</x:v>
      </x:c>
      <x:c r="M10" s="28" t="str">
        <x:v>Confirm host-agency support available.</x:v>
      </x:c>
      <x:c r="N10" s="339"/>
      <x:c r="O10" s="339"/>
      <x:c r="P10" s="339"/>
      <x:c r="Q10" s="339"/>
      <x:c r="R10" s="339"/>
      <x:c r="S10" s="339"/>
      <x:c r="T10" s="339"/>
      <x:c r="U10" s="1194"/>
      <x:c r="V10" s="1194"/>
      <x:c r="W10" s="1194"/>
      <x:c r="X10" s="1194"/>
      <x:c r="Y10" s="339"/>
      <x:c r="Z10" s="339"/>
    </x:row>
    <x:row r="11">
      <x:c r="A11" s="373" t="str">
        <x:v>Programme leadership &amp; PMO subtotal</x:v>
      </x:c>
      <x:c r="B11" s="373"/>
      <x:c r="C11" s="373"/>
      <x:c r="D11" s="374"/>
      <x:c r="E11" s="374"/>
      <x:c r="F11" s="375"/>
      <x:c r="G11" s="376" t="n">
        <x:f>SUM(G6:G10)</x:f>
        <x:v>625600</x:v>
      </x:c>
      <x:c r="H11" s="376" t="n">
        <x:f>SUM(H6:H10)</x:f>
        <x:v>782000</x:v>
      </x:c>
      <x:c r="I11" s="376" t="n">
        <x:f>SUM(I6:I10)</x:f>
        <x:v>1016600</x:v>
      </x:c>
      <x:c r="J11" s="373"/>
      <x:c r="K11" s="373"/>
      <x:c r="L11" s="373"/>
      <x:c r="M11" s="373"/>
      <x:c r="N11" s="339"/>
      <x:c r="O11" s="339"/>
      <x:c r="P11" s="339"/>
      <x:c r="Q11" s="339"/>
      <x:c r="R11" s="339"/>
      <x:c r="S11" s="339"/>
      <x:c r="T11" s="339"/>
      <x:c r="U11" s="1194"/>
      <x:c r="V11" s="1194"/>
      <x:c r="W11" s="1194"/>
      <x:c r="X11" s="1194"/>
      <x:c r="Y11" s="339"/>
      <x:c r="Z11" s="339"/>
    </x:row>
    <x:row r="12">
      <x:c r="A12" s="28"/>
      <x:c r="B12" s="28"/>
      <x:c r="C12" s="28"/>
      <x:c r="D12" s="40"/>
      <x:c r="E12" s="40"/>
      <x:c r="F12" s="48"/>
      <x:c r="G12" s="372"/>
      <x:c r="H12" s="372"/>
      <x:c r="I12" s="372"/>
      <x:c r="J12" s="28"/>
      <x:c r="K12" s="28"/>
      <x:c r="L12" s="28"/>
      <x:c r="M12" s="28"/>
      <x:c r="N12" s="339"/>
      <x:c r="O12" s="339"/>
      <x:c r="P12" s="339"/>
      <x:c r="Q12" s="339"/>
      <x:c r="R12" s="339"/>
      <x:c r="S12" s="339"/>
      <x:c r="T12" s="339"/>
      <x:c r="U12" s="1194"/>
      <x:c r="V12" s="1194"/>
      <x:c r="W12" s="1194"/>
      <x:c r="X12" s="1194"/>
      <x:c r="Y12" s="339"/>
      <x:c r="Z12" s="339"/>
    </x:row>
    <x:row r="13" ht="21" customHeight="1">
      <x:c r="A13" s="368" t="str">
        <x:v>Cultural co-design &amp; engagement</x:v>
      </x:c>
      <x:c r="B13" s="368" t="str">
        <x:v>Cultural co-design &amp; engagement</x:v>
      </x:c>
      <x:c r="C13" s="368" t="str">
        <x:v>Cultural co-design &amp; engagement</x:v>
      </x:c>
      <x:c r="D13" s="369" t="str">
        <x:v>Cultural co-design &amp; engagement</x:v>
      </x:c>
      <x:c r="E13" s="369" t="str">
        <x:v>Cultural co-design &amp; engagement</x:v>
      </x:c>
      <x:c r="F13" s="370" t="str">
        <x:v>Cultural co-design &amp; engagement</x:v>
      </x:c>
      <x:c r="G13" s="371" t="str">
        <x:v>Cultural co-design &amp; engagement</x:v>
      </x:c>
      <x:c r="H13" s="371" t="str">
        <x:v>Cultural co-design &amp; engagement</x:v>
      </x:c>
      <x:c r="I13" s="371" t="str">
        <x:v>Cultural co-design &amp; engagement</x:v>
      </x:c>
      <x:c r="J13" s="368" t="str">
        <x:v>Cultural co-design &amp; engagement</x:v>
      </x:c>
      <x:c r="K13" s="368" t="str">
        <x:v>Cultural co-design &amp; engagement</x:v>
      </x:c>
      <x:c r="L13" s="368" t="str">
        <x:v>Cultural co-design &amp; engagement</x:v>
      </x:c>
      <x:c r="M13" s="368" t="str">
        <x:v>Cultural co-design &amp; engagement</x:v>
      </x:c>
      <x:c r="N13" s="339"/>
      <x:c r="O13" s="339"/>
      <x:c r="P13" s="339"/>
      <x:c r="Q13" s="339"/>
      <x:c r="R13" s="339"/>
      <x:c r="S13" s="339"/>
      <x:c r="T13" s="339"/>
      <x:c r="U13" s="1194"/>
      <x:c r="V13" s="1194"/>
      <x:c r="W13" s="1194"/>
      <x:c r="X13" s="1194"/>
      <x:c r="Y13" s="339"/>
      <x:c r="Z13" s="339"/>
    </x:row>
    <x:row r="14">
      <x:c r="A14" s="28" t="str">
        <x:v>Cultural co-design &amp; engagement</x:v>
      </x:c>
      <x:c r="B14" s="28" t="str">
        <x:v>Māori Co-design Lead</x:v>
      </x:c>
      <x:c r="C14" s="28" t="str">
        <x:v>1.0 loaded FTE-year</x:v>
      </x:c>
      <x:c r="D14" s="40" t="n">
        <x:v>1</x:v>
      </x:c>
      <x:c r="E14" s="40" t="str">
        <x:v>FTE-year</x:v>
      </x:c>
      <x:c r="F14" s="48" t="n">
        <x:v>150000</x:v>
      </x:c>
      <x:c r="G14" s="372" t="n">
        <x:f>D14*F14*Assumptions!$D$9</x:f>
        <x:v>120000</x:v>
      </x:c>
      <x:c r="H14" s="372" t="n">
        <x:f>D14*F14*Assumptions!$E$9</x:f>
        <x:v>150000</x:v>
      </x:c>
      <x:c r="I14" s="372" t="n">
        <x:f>D14*F14*Assumptions!$F$9</x:f>
        <x:v>195000</x:v>
      </x:c>
      <x:c r="J14" s="28" t="str">
        <x:v>One-off</x:v>
      </x:c>
      <x:c r="K14" s="28" t="str">
        <x:v>S01;S09</x:v>
      </x:c>
      <x:c r="L14" s="28" t="str">
        <x:v>Benchmark + scope</x:v>
      </x:c>
      <x:c r="M14" s="28" t="str">
        <x:v>Must be appointed/co-designed with Māori partners.</x:v>
      </x:c>
      <x:c r="N14" s="339"/>
      <x:c r="O14" s="339"/>
      <x:c r="P14" s="339"/>
      <x:c r="Q14" s="339"/>
      <x:c r="R14" s="339"/>
      <x:c r="S14" s="339"/>
      <x:c r="T14" s="339"/>
      <x:c r="U14" s="1194"/>
      <x:c r="V14" s="1194"/>
      <x:c r="W14" s="1194"/>
      <x:c r="X14" s="1194"/>
      <x:c r="Y14" s="339"/>
      <x:c r="Z14" s="339"/>
    </x:row>
    <x:row r="15">
      <x:c r="A15" s="28" t="str">
        <x:v>Cultural co-design &amp; engagement</x:v>
      </x:c>
      <x:c r="B15" s="28" t="str">
        <x:v>Pacific Co-design Lead</x:v>
      </x:c>
      <x:c r="C15" s="28" t="str">
        <x:v>0.8 loaded FTE-year</x:v>
      </x:c>
      <x:c r="D15" s="40" t="n">
        <x:v>0.8</x:v>
      </x:c>
      <x:c r="E15" s="40" t="str">
        <x:v>FTE-year</x:v>
      </x:c>
      <x:c r="F15" s="48" t="n">
        <x:v>140000</x:v>
      </x:c>
      <x:c r="G15" s="372" t="n">
        <x:f>D15*F15*Assumptions!$D$9</x:f>
        <x:v>89600</x:v>
      </x:c>
      <x:c r="H15" s="372" t="n">
        <x:f>D15*F15*Assumptions!$E$9</x:f>
        <x:v>112000</x:v>
      </x:c>
      <x:c r="I15" s="372" t="n">
        <x:f>D15*F15*Assumptions!$F$9</x:f>
        <x:v>145600</x:v>
      </x:c>
      <x:c r="J15" s="28" t="str">
        <x:v>One-off</x:v>
      </x:c>
      <x:c r="K15" s="28" t="str">
        <x:v>S01;S09</x:v>
      </x:c>
      <x:c r="L15" s="28" t="str">
        <x:v>Benchmark + scope</x:v>
      </x:c>
      <x:c r="M15" s="28" t="str">
        <x:v>Must be appointed/co-designed with Pacific partners.</x:v>
      </x:c>
      <x:c r="N15" s="339"/>
      <x:c r="O15" s="339"/>
      <x:c r="P15" s="339"/>
      <x:c r="Q15" s="339"/>
      <x:c r="R15" s="339"/>
      <x:c r="S15" s="339"/>
      <x:c r="T15" s="339"/>
      <x:c r="U15" s="1194"/>
      <x:c r="V15" s="1194"/>
      <x:c r="W15" s="1194"/>
      <x:c r="X15" s="1194"/>
      <x:c r="Y15" s="339"/>
      <x:c r="Z15" s="339"/>
    </x:row>
    <x:row r="16">
      <x:c r="A16" s="28" t="str">
        <x:v>Cultural co-design &amp; engagement</x:v>
      </x:c>
      <x:c r="B16" s="28" t="str">
        <x:v>Youth and Whānau Engagement Lead</x:v>
      </x:c>
      <x:c r="C16" s="28" t="str">
        <x:v>1.0 loaded FTE-year</x:v>
      </x:c>
      <x:c r="D16" s="40" t="n">
        <x:v>1</x:v>
      </x:c>
      <x:c r="E16" s="40" t="str">
        <x:v>FTE-year</x:v>
      </x:c>
      <x:c r="F16" s="48" t="n">
        <x:v>110000</x:v>
      </x:c>
      <x:c r="G16" s="372" t="n">
        <x:f>D16*F16*Assumptions!$D$9</x:f>
        <x:v>88000</x:v>
      </x:c>
      <x:c r="H16" s="372" t="n">
        <x:f>D16*F16*Assumptions!$E$9</x:f>
        <x:v>110000</x:v>
      </x:c>
      <x:c r="I16" s="372" t="n">
        <x:f>D16*F16*Assumptions!$F$9</x:f>
        <x:v>143000</x:v>
      </x:c>
      <x:c r="J16" s="28" t="str">
        <x:v>One-off</x:v>
      </x:c>
      <x:c r="K16" s="28" t="str">
        <x:v>S01;S09</x:v>
      </x:c>
      <x:c r="L16" s="28" t="str">
        <x:v>Benchmark + scope</x:v>
      </x:c>
      <x:c r="M16" s="28" t="str">
        <x:v>Confirm regional delivery model.</x:v>
      </x:c>
      <x:c r="N16" s="339"/>
      <x:c r="O16" s="339"/>
      <x:c r="P16" s="339"/>
      <x:c r="Q16" s="339"/>
      <x:c r="R16" s="339"/>
      <x:c r="S16" s="339"/>
      <x:c r="T16" s="339"/>
      <x:c r="U16" s="1194"/>
      <x:c r="V16" s="1194"/>
      <x:c r="W16" s="1194"/>
      <x:c r="X16" s="1194"/>
      <x:c r="Y16" s="339"/>
      <x:c r="Z16" s="339"/>
    </x:row>
    <x:row r="17">
      <x:c r="A17" s="28" t="str">
        <x:v>Cultural co-design &amp; engagement</x:v>
      </x:c>
      <x:c r="B17" s="28" t="str">
        <x:v>Regional co-design hui / workshops</x:v>
      </x:c>
      <x:c r="C17" s="28" t="str">
        <x:v>16 sessions × $8,000 all-in allowance</x:v>
      </x:c>
      <x:c r="D17" s="40" t="n">
        <x:v>16</x:v>
      </x:c>
      <x:c r="E17" s="40" t="str">
        <x:v>session</x:v>
      </x:c>
      <x:c r="F17" s="377" t="n">
        <x:v>8000</x:v>
      </x:c>
      <x:c r="G17" s="378" t="n">
        <x:f>D17*F17*Assumptions!$D$9</x:f>
        <x:v>102400</x:v>
      </x:c>
      <x:c r="H17" s="378" t="n">
        <x:f>D17*F17*Assumptions!$E$9</x:f>
        <x:v>128000</x:v>
      </x:c>
      <x:c r="I17" s="378" t="n">
        <x:f>D17*F17*Assumptions!$F$9</x:f>
        <x:v>166400</x:v>
      </x:c>
      <x:c r="J17" s="35" t="str">
        <x:v>One-off</x:v>
      </x:c>
      <x:c r="K17" s="35" t="str">
        <x:v>A02</x:v>
      </x:c>
      <x:c r="L17" s="35" t="str">
        <x:v>Quote required</x:v>
      </x:c>
      <x:c r="M17" s="35" t="str">
        <x:v>Obtain partner-led budgets for venue, facilitation, kai, travel and accessibility.</x:v>
      </x:c>
      <x:c r="N17" s="339"/>
      <x:c r="O17" s="339"/>
      <x:c r="P17" s="339"/>
      <x:c r="Q17" s="339"/>
      <x:c r="R17" s="339"/>
      <x:c r="S17" s="339"/>
      <x:c r="T17" s="339"/>
      <x:c r="U17" s="1194"/>
      <x:c r="V17" s="1194"/>
      <x:c r="W17" s="1194"/>
      <x:c r="X17" s="1194"/>
      <x:c r="Y17" s="339"/>
      <x:c r="Z17" s="339"/>
    </x:row>
    <x:row r="18">
      <x:c r="A18" s="28" t="str">
        <x:v>Cultural co-design &amp; engagement</x:v>
      </x:c>
      <x:c r="B18" s="28" t="str">
        <x:v>Participant honoraria, travel and accessibility</x:v>
      </x:c>
      <x:c r="C18" s="28" t="str">
        <x:v>Transparent programme allowance</x:v>
      </x:c>
      <x:c r="D18" s="40" t="n">
        <x:v>1</x:v>
      </x:c>
      <x:c r="E18" s="40" t="str">
        <x:v>allowance</x:v>
      </x:c>
      <x:c r="F18" s="377" t="n">
        <x:v>180000</x:v>
      </x:c>
      <x:c r="G18" s="378" t="n">
        <x:f>D18*F18*Assumptions!$D$9</x:f>
        <x:v>144000</x:v>
      </x:c>
      <x:c r="H18" s="378" t="n">
        <x:f>D18*F18*Assumptions!$E$9</x:f>
        <x:v>180000</x:v>
      </x:c>
      <x:c r="I18" s="378" t="n">
        <x:f>D18*F18*Assumptions!$F$9</x:f>
        <x:v>234000</x:v>
      </x:c>
      <x:c r="J18" s="35" t="str">
        <x:v>One-off</x:v>
      </x:c>
      <x:c r="K18" s="35" t="str">
        <x:v>A02</x:v>
      </x:c>
      <x:c r="L18" s="35" t="str">
        <x:v>Quote required</x:v>
      </x:c>
      <x:c r="M18" s="35" t="str">
        <x:v>Set rates with youth, whānau, iwi, Pacific and disability partners.</x:v>
      </x:c>
      <x:c r="N18" s="339"/>
      <x:c r="O18" s="339"/>
      <x:c r="P18" s="339"/>
      <x:c r="Q18" s="339"/>
      <x:c r="R18" s="339"/>
      <x:c r="S18" s="339"/>
      <x:c r="T18" s="339"/>
      <x:c r="U18" s="1194"/>
      <x:c r="V18" s="1194"/>
      <x:c r="W18" s="1194"/>
      <x:c r="X18" s="1194"/>
      <x:c r="Y18" s="339"/>
      <x:c r="Z18" s="339"/>
    </x:row>
    <x:row r="19">
      <x:c r="A19" s="28" t="str">
        <x:v>Cultural co-design &amp; engagement</x:v>
      </x:c>
      <x:c r="B19" s="28" t="str">
        <x:v>Te reo, tikanga, Pacific-language and cultural review</x:v>
      </x:c>
      <x:c r="C19" s="28" t="str">
        <x:v>300 professional hours × $200</x:v>
      </x:c>
      <x:c r="D19" s="40" t="n">
        <x:v>300</x:v>
      </x:c>
      <x:c r="E19" s="40" t="str">
        <x:v>hour</x:v>
      </x:c>
      <x:c r="F19" s="377" t="n">
        <x:v>200</x:v>
      </x:c>
      <x:c r="G19" s="378" t="n">
        <x:f>D19*F19*Assumptions!$D$9</x:f>
        <x:v>48000</x:v>
      </x:c>
      <x:c r="H19" s="378" t="n">
        <x:f>D19*F19*Assumptions!$E$9</x:f>
        <x:v>60000</x:v>
      </x:c>
      <x:c r="I19" s="378" t="n">
        <x:f>D19*F19*Assumptions!$F$9</x:f>
        <x:v>78000</x:v>
      </x:c>
      <x:c r="J19" s="35" t="str">
        <x:v>One-off</x:v>
      </x:c>
      <x:c r="K19" s="35" t="str">
        <x:v>A01;S01</x:v>
      </x:c>
      <x:c r="L19" s="35" t="str">
        <x:v>Quote required</x:v>
      </x:c>
      <x:c r="M19" s="35" t="str">
        <x:v>Use qualified cultural and language advisors.</x:v>
      </x:c>
      <x:c r="N19" s="339"/>
      <x:c r="O19" s="339"/>
      <x:c r="P19" s="339"/>
      <x:c r="Q19" s="339"/>
      <x:c r="R19" s="339"/>
      <x:c r="S19" s="339"/>
      <x:c r="T19" s="339"/>
      <x:c r="U19" s="1194"/>
      <x:c r="V19" s="1194"/>
      <x:c r="W19" s="1194"/>
      <x:c r="X19" s="1194"/>
      <x:c r="Y19" s="339"/>
      <x:c r="Z19" s="339"/>
    </x:row>
    <x:row r="20">
      <x:c r="A20" s="373" t="str">
        <x:v>Cultural co-design &amp; engagement subtotal</x:v>
      </x:c>
      <x:c r="B20" s="373"/>
      <x:c r="C20" s="373"/>
      <x:c r="D20" s="374"/>
      <x:c r="E20" s="374"/>
      <x:c r="F20" s="375"/>
      <x:c r="G20" s="376" t="n">
        <x:f>SUM(G14:G19)</x:f>
        <x:v>592000</x:v>
      </x:c>
      <x:c r="H20" s="376" t="n">
        <x:f>SUM(H14:H19)</x:f>
        <x:v>740000</x:v>
      </x:c>
      <x:c r="I20" s="376" t="n">
        <x:f>SUM(I14:I19)</x:f>
        <x:v>962000</x:v>
      </x:c>
      <x:c r="J20" s="373"/>
      <x:c r="K20" s="373"/>
      <x:c r="L20" s="373"/>
      <x:c r="M20" s="373"/>
      <x:c r="N20" s="339"/>
      <x:c r="O20" s="339"/>
      <x:c r="P20" s="339"/>
      <x:c r="Q20" s="339"/>
      <x:c r="R20" s="339"/>
      <x:c r="S20" s="339"/>
      <x:c r="T20" s="339"/>
      <x:c r="U20" s="1194"/>
      <x:c r="V20" s="1194"/>
      <x:c r="W20" s="1194"/>
      <x:c r="X20" s="1194"/>
      <x:c r="Y20" s="339"/>
      <x:c r="Z20" s="339"/>
    </x:row>
    <x:row r="21">
      <x:c r="A21" s="28"/>
      <x:c r="B21" s="28"/>
      <x:c r="C21" s="28"/>
      <x:c r="D21" s="40"/>
      <x:c r="E21" s="40"/>
      <x:c r="F21" s="48"/>
      <x:c r="G21" s="372"/>
      <x:c r="H21" s="372"/>
      <x:c r="I21" s="372"/>
      <x:c r="J21" s="28"/>
      <x:c r="K21" s="28"/>
      <x:c r="L21" s="28"/>
      <x:c r="M21" s="28"/>
      <x:c r="N21" s="339"/>
      <x:c r="O21" s="339"/>
      <x:c r="P21" s="339"/>
      <x:c r="Q21" s="339"/>
      <x:c r="R21" s="339"/>
      <x:c r="S21" s="339"/>
      <x:c r="T21" s="339"/>
      <x:c r="U21" s="1194"/>
      <x:c r="V21" s="1194"/>
      <x:c r="W21" s="1194"/>
      <x:c r="X21" s="1194"/>
      <x:c r="Y21" s="339"/>
      <x:c r="Z21" s="339"/>
    </x:row>
    <x:row r="22" ht="21" customHeight="1">
      <x:c r="A22" s="368" t="str">
        <x:v>Business case, legal &amp; commercial</x:v>
      </x:c>
      <x:c r="B22" s="368" t="str">
        <x:v>Business case, legal &amp; commercial</x:v>
      </x:c>
      <x:c r="C22" s="368" t="str">
        <x:v>Business case, legal &amp; commercial</x:v>
      </x:c>
      <x:c r="D22" s="369" t="str">
        <x:v>Business case, legal &amp; commercial</x:v>
      </x:c>
      <x:c r="E22" s="369" t="str">
        <x:v>Business case, legal &amp; commercial</x:v>
      </x:c>
      <x:c r="F22" s="370" t="str">
        <x:v>Business case, legal &amp; commercial</x:v>
      </x:c>
      <x:c r="G22" s="371" t="str">
        <x:v>Business case, legal &amp; commercial</x:v>
      </x:c>
      <x:c r="H22" s="371" t="str">
        <x:v>Business case, legal &amp; commercial</x:v>
      </x:c>
      <x:c r="I22" s="371" t="str">
        <x:v>Business case, legal &amp; commercial</x:v>
      </x:c>
      <x:c r="J22" s="368" t="str">
        <x:v>Business case, legal &amp; commercial</x:v>
      </x:c>
      <x:c r="K22" s="368" t="str">
        <x:v>Business case, legal &amp; commercial</x:v>
      </x:c>
      <x:c r="L22" s="368" t="str">
        <x:v>Business case, legal &amp; commercial</x:v>
      </x:c>
      <x:c r="M22" s="368" t="str">
        <x:v>Business case, legal &amp; commercial</x:v>
      </x:c>
      <x:c r="N22" s="339"/>
      <x:c r="O22" s="339"/>
      <x:c r="P22" s="339"/>
      <x:c r="Q22" s="339"/>
      <x:c r="R22" s="339"/>
      <x:c r="S22" s="339"/>
      <x:c r="T22" s="339"/>
      <x:c r="U22" s="1194"/>
      <x:c r="V22" s="1194"/>
      <x:c r="W22" s="1194"/>
      <x:c r="X22" s="1194"/>
      <x:c r="Y22" s="339"/>
      <x:c r="Z22" s="339"/>
    </x:row>
    <x:row r="23">
      <x:c r="A23" s="28" t="str">
        <x:v>Business case, legal &amp; commercial</x:v>
      </x:c>
      <x:c r="B23" s="28" t="str">
        <x:v>Economics and Better Business Case team</x:v>
      </x:c>
      <x:c r="C23" s="28" t="str">
        <x:v>2.0 loaded specialist FTE-years</x:v>
      </x:c>
      <x:c r="D23" s="40" t="n">
        <x:v>2</x:v>
      </x:c>
      <x:c r="E23" s="40" t="str">
        <x:v>FTE-year</x:v>
      </x:c>
      <x:c r="F23" s="48" t="n">
        <x:v>150000</x:v>
      </x:c>
      <x:c r="G23" s="372" t="n">
        <x:f>D23*F23*Assumptions!$D$9</x:f>
        <x:v>240000</x:v>
      </x:c>
      <x:c r="H23" s="372" t="n">
        <x:f>D23*F23*Assumptions!$E$9</x:f>
        <x:v>300000</x:v>
      </x:c>
      <x:c r="I23" s="372" t="n">
        <x:f>D23*F23*Assumptions!$F$9</x:f>
        <x:v>390000</x:v>
      </x:c>
      <x:c r="J23" s="28" t="str">
        <x:v>One-off</x:v>
      </x:c>
      <x:c r="K23" s="28" t="str">
        <x:v>S07;S09;S12</x:v>
      </x:c>
      <x:c r="L23" s="28" t="str">
        <x:v>Benchmark</x:v>
      </x:c>
      <x:c r="M23" s="28" t="str">
        <x:v>Confirm BBC pathway and host-agency capability.</x:v>
      </x:c>
      <x:c r="N23" s="339"/>
      <x:c r="O23" s="339"/>
      <x:c r="P23" s="339"/>
      <x:c r="Q23" s="339"/>
      <x:c r="R23" s="339"/>
      <x:c r="S23" s="339"/>
      <x:c r="T23" s="339"/>
      <x:c r="U23" s="1194"/>
      <x:c r="V23" s="1194"/>
      <x:c r="W23" s="1194"/>
      <x:c r="X23" s="1194"/>
      <x:c r="Y23" s="339"/>
      <x:c r="Z23" s="339"/>
    </x:row>
    <x:row r="24">
      <x:c r="A24" s="28" t="str">
        <x:v>Business case, legal &amp; commercial</x:v>
      </x:c>
      <x:c r="B24" s="28" t="str">
        <x:v>Independent costing review</x:v>
      </x:c>
      <x:c r="C24" s="28" t="str">
        <x:v>900 professional hours × $200</x:v>
      </x:c>
      <x:c r="D24" s="40" t="n">
        <x:v>900</x:v>
      </x:c>
      <x:c r="E24" s="40" t="str">
        <x:v>hour</x:v>
      </x:c>
      <x:c r="F24" s="377" t="n">
        <x:v>200</x:v>
      </x:c>
      <x:c r="G24" s="378" t="n">
        <x:f>D24*F24*Assumptions!$D$9</x:f>
        <x:v>144000</x:v>
      </x:c>
      <x:c r="H24" s="378" t="n">
        <x:f>D24*F24*Assumptions!$E$9</x:f>
        <x:v>180000</x:v>
      </x:c>
      <x:c r="I24" s="378" t="n">
        <x:f>D24*F24*Assumptions!$F$9</x:f>
        <x:v>234000</x:v>
      </x:c>
      <x:c r="J24" s="35" t="str">
        <x:v>One-off</x:v>
      </x:c>
      <x:c r="K24" s="35" t="str">
        <x:v>A01;S07</x:v>
      </x:c>
      <x:c r="L24" s="35" t="str">
        <x:v>Quote required</x:v>
      </x:c>
      <x:c r="M24" s="35" t="str">
        <x:v>Independent reviewer must not be the model author.</x:v>
      </x:c>
      <x:c r="N24" s="339"/>
      <x:c r="O24" s="339"/>
      <x:c r="P24" s="339"/>
      <x:c r="Q24" s="339"/>
      <x:c r="R24" s="339"/>
      <x:c r="S24" s="339"/>
      <x:c r="T24" s="339"/>
      <x:c r="U24" s="1194"/>
      <x:c r="V24" s="1194"/>
      <x:c r="W24" s="1194"/>
      <x:c r="X24" s="1194"/>
      <x:c r="Y24" s="339"/>
      <x:c r="Z24" s="339"/>
    </x:row>
    <x:row r="25">
      <x:c r="A25" s="28" t="str">
        <x:v>Business case, legal &amp; commercial</x:v>
      </x:c>
      <x:c r="B25" s="28" t="str">
        <x:v>Learning Capital legal, accounting, tax and commercial design</x:v>
      </x:c>
      <x:c r="C25" s="28" t="str">
        <x:v>1,000 specialist hours × $200</x:v>
      </x:c>
      <x:c r="D25" s="40" t="n">
        <x:v>1000</x:v>
      </x:c>
      <x:c r="E25" s="40" t="str">
        <x:v>hour</x:v>
      </x:c>
      <x:c r="F25" s="377" t="n">
        <x:v>200</x:v>
      </x:c>
      <x:c r="G25" s="378" t="n">
        <x:f>D25*F25*Assumptions!$D$9</x:f>
        <x:v>160000</x:v>
      </x:c>
      <x:c r="H25" s="378" t="n">
        <x:f>D25*F25*Assumptions!$E$9</x:f>
        <x:v>200000</x:v>
      </x:c>
      <x:c r="I25" s="378" t="n">
        <x:f>D25*F25*Assumptions!$F$9</x:f>
        <x:v>260000</x:v>
      </x:c>
      <x:c r="J25" s="35" t="str">
        <x:v>One-off</x:v>
      </x:c>
      <x:c r="K25" s="35" t="str">
        <x:v>A01;S07</x:v>
      </x:c>
      <x:c r="L25" s="35" t="str">
        <x:v>Quote required</x:v>
      </x:c>
      <x:c r="M25" s="35" t="str">
        <x:v>Covers legal ownership, beneficial ownership, Crown control, vesting, withdrawal restrictions, public-sector accounting, tax, investment mandate, provider and custodian procurement, KiwiSaver policy options and payment contracts.</x:v>
      </x:c>
      <x:c r="N25" s="339"/>
      <x:c r="O25" s="339"/>
      <x:c r="P25" s="339"/>
      <x:c r="Q25" s="339"/>
      <x:c r="R25" s="339"/>
      <x:c r="S25" s="339"/>
      <x:c r="T25" s="339"/>
      <x:c r="U25" s="1194"/>
      <x:c r="V25" s="1194"/>
      <x:c r="W25" s="1194"/>
      <x:c r="X25" s="1194"/>
      <x:c r="Y25" s="339"/>
      <x:c r="Z25" s="339"/>
    </x:row>
    <x:row r="26">
      <x:c r="A26" s="28" t="str">
        <x:v>Business case, legal &amp; commercial</x:v>
      </x:c>
      <x:c r="B26" s="28" t="str">
        <x:v>Privacy, data-sharing, ethics and financial-services safeguards</x:v>
      </x:c>
      <x:c r="C26" s="28" t="str">
        <x:v>900 professional hours × $200</x:v>
      </x:c>
      <x:c r="D26" s="40" t="n">
        <x:v>900</x:v>
      </x:c>
      <x:c r="E26" s="40" t="str">
        <x:v>hour</x:v>
      </x:c>
      <x:c r="F26" s="377" t="n">
        <x:v>200</x:v>
      </x:c>
      <x:c r="G26" s="378" t="n">
        <x:f>D26*F26*Assumptions!$D$9</x:f>
        <x:v>144000</x:v>
      </x:c>
      <x:c r="H26" s="378" t="n">
        <x:f>D26*F26*Assumptions!$E$9</x:f>
        <x:v>180000</x:v>
      </x:c>
      <x:c r="I26" s="378" t="n">
        <x:f>D26*F26*Assumptions!$F$9</x:f>
        <x:v>234000</x:v>
      </x:c>
      <x:c r="J26" s="35" t="str">
        <x:v>One-off</x:v>
      </x:c>
      <x:c r="K26" s="35" t="str">
        <x:v>A01;S15</x:v>
      </x:c>
      <x:c r="L26" s="35" t="str">
        <x:v>Quote required</x:v>
      </x:c>
      <x:c r="M26" s="35" t="str">
        <x:v>Includes child-data safeguards, PIA, information sharing, complaints, market-loss communication, participant statements and regulated-provider interfaces.</x:v>
      </x:c>
      <x:c r="N26" s="339"/>
      <x:c r="O26" s="339"/>
      <x:c r="P26" s="339"/>
      <x:c r="Q26" s="339"/>
      <x:c r="R26" s="339"/>
      <x:c r="S26" s="339"/>
      <x:c r="T26" s="339"/>
      <x:c r="U26" s="1194"/>
      <x:c r="V26" s="1194"/>
      <x:c r="W26" s="1194"/>
      <x:c r="X26" s="1194"/>
      <x:c r="Y26" s="339"/>
      <x:c r="Z26" s="339"/>
    </x:row>
    <x:row r="27">
      <x:c r="A27" s="28" t="str">
        <x:v>Business case, legal &amp; commercial</x:v>
      </x:c>
      <x:c r="B27" s="28" t="str">
        <x:v>Governance establishment and secretariat design</x:v>
      </x:c>
      <x:c r="C27" s="28" t="str">
        <x:v>400 professional hours × $200</x:v>
      </x:c>
      <x:c r="D27" s="40" t="n">
        <x:v>400</x:v>
      </x:c>
      <x:c r="E27" s="40" t="str">
        <x:v>hour</x:v>
      </x:c>
      <x:c r="F27" s="377" t="n">
        <x:v>200</x:v>
      </x:c>
      <x:c r="G27" s="378" t="n">
        <x:f>D27*F27*Assumptions!$D$9</x:f>
        <x:v>64000</x:v>
      </x:c>
      <x:c r="H27" s="378" t="n">
        <x:f>D27*F27*Assumptions!$E$9</x:f>
        <x:v>80000</x:v>
      </x:c>
      <x:c r="I27" s="378" t="n">
        <x:f>D27*F27*Assumptions!$F$9</x:f>
        <x:v>104000</x:v>
      </x:c>
      <x:c r="J27" s="35" t="str">
        <x:v>One-off</x:v>
      </x:c>
      <x:c r="K27" s="35" t="str">
        <x:v>A01;S14</x:v>
      </x:c>
      <x:c r="L27" s="35" t="str">
        <x:v>Quote required</x:v>
      </x:c>
      <x:c r="M27" s="35" t="str">
        <x:v>Confirm legal form, decision rights and fee classification.</x:v>
      </x:c>
      <x:c r="N27" s="339"/>
      <x:c r="O27" s="339"/>
      <x:c r="P27" s="339"/>
      <x:c r="Q27" s="339"/>
      <x:c r="R27" s="339"/>
      <x:c r="S27" s="339"/>
      <x:c r="T27" s="339"/>
      <x:c r="U27" s="1194"/>
      <x:c r="V27" s="1194"/>
      <x:c r="W27" s="1194"/>
      <x:c r="X27" s="1194"/>
      <x:c r="Y27" s="339"/>
      <x:c r="Z27" s="339"/>
    </x:row>
    <x:row r="28">
      <x:c r="A28" s="373" t="str">
        <x:v>Business case, legal &amp; commercial subtotal</x:v>
      </x:c>
      <x:c r="B28" s="373"/>
      <x:c r="C28" s="373"/>
      <x:c r="D28" s="374"/>
      <x:c r="E28" s="374"/>
      <x:c r="F28" s="375"/>
      <x:c r="G28" s="376" t="n">
        <x:f>SUM(G23:G27)</x:f>
        <x:v>752000</x:v>
      </x:c>
      <x:c r="H28" s="376" t="n">
        <x:f>SUM(H23:H27)</x:f>
        <x:v>940000</x:v>
      </x:c>
      <x:c r="I28" s="376" t="n">
        <x:f>SUM(I23:I27)</x:f>
        <x:v>1222000</x:v>
      </x:c>
      <x:c r="J28" s="373"/>
      <x:c r="K28" s="373"/>
      <x:c r="L28" s="373"/>
      <x:c r="M28" s="373"/>
      <x:c r="N28" s="339"/>
      <x:c r="O28" s="339"/>
      <x:c r="P28" s="339"/>
      <x:c r="Q28" s="339"/>
      <x:c r="R28" s="339"/>
      <x:c r="S28" s="339"/>
      <x:c r="T28" s="339"/>
      <x:c r="U28" s="1194"/>
      <x:c r="V28" s="1194"/>
      <x:c r="W28" s="1194"/>
      <x:c r="X28" s="1194"/>
      <x:c r="Y28" s="339"/>
      <x:c r="Z28" s="339"/>
    </x:row>
    <x:row r="29">
      <x:c r="A29" s="28"/>
      <x:c r="B29" s="28"/>
      <x:c r="C29" s="28"/>
      <x:c r="D29" s="40"/>
      <x:c r="E29" s="40"/>
      <x:c r="F29" s="48"/>
      <x:c r="G29" s="372"/>
      <x:c r="H29" s="372"/>
      <x:c r="I29" s="372"/>
      <x:c r="J29" s="28"/>
      <x:c r="K29" s="28"/>
      <x:c r="L29" s="28"/>
      <x:c r="M29" s="28"/>
      <x:c r="N29" s="339"/>
      <x:c r="O29" s="339"/>
      <x:c r="P29" s="339"/>
      <x:c r="Q29" s="339"/>
      <x:c r="R29" s="339"/>
      <x:c r="S29" s="339"/>
      <x:c r="T29" s="339"/>
      <x:c r="U29" s="1194"/>
      <x:c r="V29" s="1194"/>
      <x:c r="W29" s="1194"/>
      <x:c r="X29" s="1194"/>
      <x:c r="Y29" s="339"/>
      <x:c r="Z29" s="339"/>
    </x:row>
    <x:row r="30" ht="21" customHeight="1">
      <x:c r="A30" s="368" t="str">
        <x:v>Technology discovery &amp; secure prototype</x:v>
      </x:c>
      <x:c r="B30" s="368" t="str">
        <x:v>Technology discovery &amp; secure prototype</x:v>
      </x:c>
      <x:c r="C30" s="368" t="str">
        <x:v>Technology discovery &amp; secure prototype</x:v>
      </x:c>
      <x:c r="D30" s="369" t="str">
        <x:v>Technology discovery &amp; secure prototype</x:v>
      </x:c>
      <x:c r="E30" s="369" t="str">
        <x:v>Technology discovery &amp; secure prototype</x:v>
      </x:c>
      <x:c r="F30" s="370" t="str">
        <x:v>Technology discovery &amp; secure prototype</x:v>
      </x:c>
      <x:c r="G30" s="371" t="str">
        <x:v>Technology discovery &amp; secure prototype</x:v>
      </x:c>
      <x:c r="H30" s="371" t="str">
        <x:v>Technology discovery &amp; secure prototype</x:v>
      </x:c>
      <x:c r="I30" s="371" t="str">
        <x:v>Technology discovery &amp; secure prototype</x:v>
      </x:c>
      <x:c r="J30" s="368" t="str">
        <x:v>Technology discovery &amp; secure prototype</x:v>
      </x:c>
      <x:c r="K30" s="368" t="str">
        <x:v>Technology discovery &amp; secure prototype</x:v>
      </x:c>
      <x:c r="L30" s="368" t="str">
        <x:v>Technology discovery &amp; secure prototype</x:v>
      </x:c>
      <x:c r="M30" s="368" t="str">
        <x:v>Technology discovery &amp; secure prototype</x:v>
      </x:c>
      <x:c r="N30" s="339"/>
      <x:c r="O30" s="339"/>
      <x:c r="P30" s="339"/>
      <x:c r="Q30" s="339"/>
      <x:c r="R30" s="339"/>
      <x:c r="S30" s="339"/>
      <x:c r="T30" s="339"/>
      <x:c r="U30" s="1194"/>
      <x:c r="V30" s="1194"/>
      <x:c r="W30" s="1194"/>
      <x:c r="X30" s="1194"/>
      <x:c r="Y30" s="339"/>
      <x:c r="Z30" s="339"/>
    </x:row>
    <x:row r="31">
      <x:c r="A31" s="28" t="str">
        <x:v>Technology discovery &amp; secure prototype</x:v>
      </x:c>
      <x:c r="B31" s="28" t="str">
        <x:v>Product Lead</x:v>
      </x:c>
      <x:c r="C31" s="28" t="str">
        <x:v>1.0 loaded FTE-year</x:v>
      </x:c>
      <x:c r="D31" s="40" t="n">
        <x:v>1</x:v>
      </x:c>
      <x:c r="E31" s="40" t="str">
        <x:v>FTE-year</x:v>
      </x:c>
      <x:c r="F31" s="48" t="n">
        <x:v>160000</x:v>
      </x:c>
      <x:c r="G31" s="372" t="n">
        <x:f>D31*F31*Assumptions!$D$9</x:f>
        <x:v>128000</x:v>
      </x:c>
      <x:c r="H31" s="372" t="n">
        <x:f>D31*F31*Assumptions!$E$9</x:f>
        <x:v>160000</x:v>
      </x:c>
      <x:c r="I31" s="372" t="n">
        <x:f>D31*F31*Assumptions!$F$9</x:f>
        <x:v>208000</x:v>
      </x:c>
      <x:c r="J31" s="28" t="str">
        <x:v>One-off</x:v>
      </x:c>
      <x:c r="K31" s="28" t="str">
        <x:v>S09;S10</x:v>
      </x:c>
      <x:c r="L31" s="28" t="str">
        <x:v>Benchmark</x:v>
      </x:c>
      <x:c r="M31" s="28" t="str">
        <x:v>Confirm build-vs-buy and agency ownership.</x:v>
      </x:c>
      <x:c r="N31" s="339"/>
      <x:c r="O31" s="339"/>
      <x:c r="P31" s="339"/>
      <x:c r="Q31" s="339"/>
      <x:c r="R31" s="339"/>
      <x:c r="S31" s="339"/>
      <x:c r="T31" s="339"/>
      <x:c r="U31" s="1194"/>
      <x:c r="V31" s="1194"/>
      <x:c r="W31" s="1194"/>
      <x:c r="X31" s="1194"/>
      <x:c r="Y31" s="339"/>
      <x:c r="Z31" s="339"/>
    </x:row>
    <x:row r="32">
      <x:c r="A32" s="28" t="str">
        <x:v>Technology discovery &amp; secure prototype</x:v>
      </x:c>
      <x:c r="B32" s="28" t="str">
        <x:v>UX / Service Designer</x:v>
      </x:c>
      <x:c r="C32" s="28" t="str">
        <x:v>1.0 loaded FTE-year</x:v>
      </x:c>
      <x:c r="D32" s="40" t="n">
        <x:v>1</x:v>
      </x:c>
      <x:c r="E32" s="40" t="str">
        <x:v>FTE-year</x:v>
      </x:c>
      <x:c r="F32" s="48" t="n">
        <x:v>145000</x:v>
      </x:c>
      <x:c r="G32" s="372" t="n">
        <x:f>D32*F32*Assumptions!$D$9</x:f>
        <x:v>116000</x:v>
      </x:c>
      <x:c r="H32" s="372" t="n">
        <x:f>D32*F32*Assumptions!$E$9</x:f>
        <x:v>145000</x:v>
      </x:c>
      <x:c r="I32" s="372" t="n">
        <x:f>D32*F32*Assumptions!$F$9</x:f>
        <x:v>188500</x:v>
      </x:c>
      <x:c r="J32" s="28" t="str">
        <x:v>One-off</x:v>
      </x:c>
      <x:c r="K32" s="28" t="str">
        <x:v>S09;S12</x:v>
      </x:c>
      <x:c r="L32" s="28" t="str">
        <x:v>Benchmark</x:v>
      </x:c>
      <x:c r="M32" s="28" t="str">
        <x:v>Includes accessible and culturally responsive service design.</x:v>
      </x:c>
      <x:c r="N32" s="339"/>
      <x:c r="O32" s="339"/>
      <x:c r="P32" s="339"/>
      <x:c r="Q32" s="339"/>
      <x:c r="R32" s="339"/>
      <x:c r="S32" s="339"/>
      <x:c r="T32" s="339"/>
      <x:c r="U32" s="1194"/>
      <x:c r="V32" s="1194"/>
      <x:c r="W32" s="1194"/>
      <x:c r="X32" s="1194"/>
      <x:c r="Y32" s="339"/>
      <x:c r="Z32" s="339"/>
    </x:row>
    <x:row r="33">
      <x:c r="A33" s="28" t="str">
        <x:v>Technology discovery &amp; secure prototype</x:v>
      </x:c>
      <x:c r="B33" s="28" t="str">
        <x:v>Engineering / data / integration team</x:v>
      </x:c>
      <x:c r="C33" s="28" t="str">
        <x:v>2.25 FTE-years (3 people for 9 months)</x:v>
      </x:c>
      <x:c r="D33" s="40" t="n">
        <x:v>2.25</x:v>
      </x:c>
      <x:c r="E33" s="40" t="str">
        <x:v>FTE-year</x:v>
      </x:c>
      <x:c r="F33" s="377" t="n">
        <x:v>160000</x:v>
      </x:c>
      <x:c r="G33" s="378" t="n">
        <x:f>D33*F33*Assumptions!$D$9</x:f>
        <x:v>288000</x:v>
      </x:c>
      <x:c r="H33" s="378" t="n">
        <x:f>D33*F33*Assumptions!$E$9</x:f>
        <x:v>360000</x:v>
      </x:c>
      <x:c r="I33" s="378" t="n">
        <x:f>D33*F33*Assumptions!$F$9</x:f>
        <x:v>468000</x:v>
      </x:c>
      <x:c r="J33" s="35" t="str">
        <x:v>One-off</x:v>
      </x:c>
      <x:c r="K33" s="35" t="str">
        <x:v>S09;S13;A04</x:v>
      </x:c>
      <x:c r="L33" s="35" t="str">
        <x:v>Benchmark + allowance</x:v>
      </x:c>
      <x:c r="M33" s="35" t="str">
        <x:v>Prototype only; production build is in Pilot Year 1.</x:v>
      </x:c>
      <x:c r="N33" s="339"/>
      <x:c r="O33" s="339"/>
      <x:c r="P33" s="339"/>
      <x:c r="Q33" s="339"/>
      <x:c r="R33" s="339"/>
      <x:c r="S33" s="339"/>
      <x:c r="T33" s="339"/>
      <x:c r="U33" s="1194"/>
      <x:c r="V33" s="1194"/>
      <x:c r="W33" s="1194"/>
      <x:c r="X33" s="1194"/>
      <x:c r="Y33" s="339"/>
      <x:c r="Z33" s="339"/>
    </x:row>
    <x:row r="34">
      <x:c r="A34" s="28" t="str">
        <x:v>Technology discovery &amp; secure prototype</x:v>
      </x:c>
      <x:c r="B34" s="28" t="str">
        <x:v>Security architecture, threat modelling and assurance</x:v>
      </x:c>
      <x:c r="C34" s="28" t="str">
        <x:v>1,000 professional hours × $200</x:v>
      </x:c>
      <x:c r="D34" s="40" t="n">
        <x:v>1000</x:v>
      </x:c>
      <x:c r="E34" s="40" t="str">
        <x:v>hour</x:v>
      </x:c>
      <x:c r="F34" s="377" t="n">
        <x:v>200</x:v>
      </x:c>
      <x:c r="G34" s="378" t="n">
        <x:f>D34*F34*Assumptions!$D$9</x:f>
        <x:v>160000</x:v>
      </x:c>
      <x:c r="H34" s="378" t="n">
        <x:f>D34*F34*Assumptions!$E$9</x:f>
        <x:v>200000</x:v>
      </x:c>
      <x:c r="I34" s="378" t="n">
        <x:f>D34*F34*Assumptions!$F$9</x:f>
        <x:v>260000</x:v>
      </x:c>
      <x:c r="J34" s="35" t="str">
        <x:v>One-off</x:v>
      </x:c>
      <x:c r="K34" s="35" t="str">
        <x:v>A01;S16;S20</x:v>
      </x:c>
      <x:c r="L34" s="35" t="str">
        <x:v>Quote required</x:v>
      </x:c>
      <x:c r="M34" s="35" t="str">
        <x:v>Includes independent security review; penetration test scope depends on prototype.</x:v>
      </x:c>
      <x:c r="N34" s="339"/>
      <x:c r="O34" s="339"/>
      <x:c r="P34" s="339"/>
      <x:c r="Q34" s="339"/>
      <x:c r="R34" s="339"/>
      <x:c r="S34" s="339"/>
      <x:c r="T34" s="339"/>
      <x:c r="U34" s="1194"/>
      <x:c r="V34" s="1194"/>
      <x:c r="W34" s="1194"/>
      <x:c r="X34" s="1194"/>
      <x:c r="Y34" s="339"/>
      <x:c r="Z34" s="339"/>
    </x:row>
    <x:row r="35">
      <x:c r="A35" s="28" t="str">
        <x:v>Technology discovery &amp; secure prototype</x:v>
      </x:c>
      <x:c r="B35" s="28" t="str">
        <x:v>School-SMS, payment and Learning Capital integration discovery</x:v>
      </x:c>
      <x:c r="C35" s="28" t="str">
        <x:v>750 professional hours × $200</x:v>
      </x:c>
      <x:c r="D35" s="40" t="n">
        <x:v>750</x:v>
      </x:c>
      <x:c r="E35" s="40" t="str">
        <x:v>hour</x:v>
      </x:c>
      <x:c r="F35" s="377" t="n">
        <x:v>200</x:v>
      </x:c>
      <x:c r="G35" s="378" t="n">
        <x:f>D35*F35*Assumptions!$D$9</x:f>
        <x:v>120000</x:v>
      </x:c>
      <x:c r="H35" s="378" t="n">
        <x:f>D35*F35*Assumptions!$E$9</x:f>
        <x:v>150000</x:v>
      </x:c>
      <x:c r="I35" s="378" t="n">
        <x:f>D35*F35*Assumptions!$F$9</x:f>
        <x:v>195000</x:v>
      </x:c>
      <x:c r="J35" s="35" t="str">
        <x:v>One-off</x:v>
      </x:c>
      <x:c r="K35" s="35" t="str">
        <x:v>A01;S18</x:v>
      </x:c>
      <x:c r="L35" s="35" t="str">
        <x:v>Quote required</x:v>
      </x:c>
      <x:c r="M35" s="35" t="str">
        <x:v>Requires StudyLink/MSD, account-provider, custodian, tertiary-provider and apprenticeship verification interfaces.</x:v>
      </x:c>
      <x:c r="N35" s="339"/>
      <x:c r="O35" s="339"/>
      <x:c r="P35" s="339"/>
      <x:c r="Q35" s="339"/>
      <x:c r="R35" s="339"/>
      <x:c r="S35" s="339"/>
      <x:c r="T35" s="339"/>
      <x:c r="U35" s="1194"/>
      <x:c r="V35" s="1194"/>
      <x:c r="W35" s="1194"/>
      <x:c r="X35" s="1194"/>
      <x:c r="Y35" s="339"/>
      <x:c r="Z35" s="339"/>
    </x:row>
    <x:row r="36">
      <x:c r="A36" s="28" t="str">
        <x:v>Technology discovery &amp; secure prototype</x:v>
      </x:c>
      <x:c r="B36" s="28" t="str">
        <x:v>Cloud, development and test tooling</x:v>
      </x:c>
      <x:c r="C36" s="28" t="str">
        <x:v>12 months × $5,000 allowance</x:v>
      </x:c>
      <x:c r="D36" s="40" t="n">
        <x:v>12</x:v>
      </x:c>
      <x:c r="E36" s="40" t="str">
        <x:v>month</x:v>
      </x:c>
      <x:c r="F36" s="377" t="n">
        <x:v>5000</x:v>
      </x:c>
      <x:c r="G36" s="378" t="n">
        <x:f>D36*F36*Assumptions!$D$9</x:f>
        <x:v>48000</x:v>
      </x:c>
      <x:c r="H36" s="378" t="n">
        <x:f>D36*F36*Assumptions!$E$9</x:f>
        <x:v>60000</x:v>
      </x:c>
      <x:c r="I36" s="378" t="n">
        <x:f>D36*F36*Assumptions!$F$9</x:f>
        <x:v>78000</x:v>
      </x:c>
      <x:c r="J36" s="35" t="str">
        <x:v>One-off</x:v>
      </x:c>
      <x:c r="K36" s="35" t="str">
        <x:v>A04;S19</x:v>
      </x:c>
      <x:c r="L36" s="35" t="str">
        <x:v>Quote required</x:v>
      </x:c>
      <x:c r="M36" s="35" t="str">
        <x:v>Architecture and data residency will determine actual cost.</x:v>
      </x:c>
      <x:c r="N36" s="339"/>
      <x:c r="O36" s="339"/>
      <x:c r="P36" s="339"/>
      <x:c r="Q36" s="339"/>
      <x:c r="R36" s="339"/>
      <x:c r="S36" s="339"/>
      <x:c r="T36" s="339"/>
      <x:c r="U36" s="1194"/>
      <x:c r="V36" s="1194"/>
      <x:c r="W36" s="1194"/>
      <x:c r="X36" s="1194"/>
      <x:c r="Y36" s="339"/>
      <x:c r="Z36" s="339"/>
    </x:row>
    <x:row r="37">
      <x:c r="A37" s="373" t="str">
        <x:v>Technology discovery &amp; secure prototype subtotal</x:v>
      </x:c>
      <x:c r="B37" s="373"/>
      <x:c r="C37" s="373"/>
      <x:c r="D37" s="374"/>
      <x:c r="E37" s="374"/>
      <x:c r="F37" s="375"/>
      <x:c r="G37" s="376" t="n">
        <x:f>SUM(G31:G36)</x:f>
        <x:v>860000</x:v>
      </x:c>
      <x:c r="H37" s="376" t="n">
        <x:f>SUM(H31:H36)</x:f>
        <x:v>1075000</x:v>
      </x:c>
      <x:c r="I37" s="376" t="n">
        <x:f>SUM(I31:I36)</x:f>
        <x:v>1397500</x:v>
      </x:c>
      <x:c r="J37" s="373"/>
      <x:c r="K37" s="373"/>
      <x:c r="L37" s="373"/>
      <x:c r="M37" s="373"/>
      <x:c r="N37" s="339"/>
      <x:c r="O37" s="339"/>
      <x:c r="P37" s="339"/>
      <x:c r="Q37" s="339"/>
      <x:c r="R37" s="339"/>
      <x:c r="S37" s="339"/>
      <x:c r="T37" s="339"/>
      <x:c r="U37" s="1194"/>
      <x:c r="V37" s="1194"/>
      <x:c r="W37" s="1194"/>
      <x:c r="X37" s="1194"/>
      <x:c r="Y37" s="339"/>
      <x:c r="Z37" s="339"/>
    </x:row>
    <x:row r="38">
      <x:c r="A38" s="28"/>
      <x:c r="B38" s="28"/>
      <x:c r="C38" s="28"/>
      <x:c r="D38" s="40"/>
      <x:c r="E38" s="40"/>
      <x:c r="F38" s="48"/>
      <x:c r="G38" s="372"/>
      <x:c r="H38" s="372"/>
      <x:c r="I38" s="372"/>
      <x:c r="J38" s="28"/>
      <x:c r="K38" s="28"/>
      <x:c r="L38" s="28"/>
      <x:c r="M38" s="28"/>
      <x:c r="N38" s="339"/>
      <x:c r="O38" s="339"/>
      <x:c r="P38" s="339"/>
      <x:c r="Q38" s="339"/>
      <x:c r="R38" s="339"/>
      <x:c r="S38" s="339"/>
      <x:c r="T38" s="339"/>
      <x:c r="U38" s="1194"/>
      <x:c r="V38" s="1194"/>
      <x:c r="W38" s="1194"/>
      <x:c r="X38" s="1194"/>
      <x:c r="Y38" s="339"/>
      <x:c r="Z38" s="339"/>
    </x:row>
    <x:row r="39" ht="21" customHeight="1">
      <x:c r="A39" s="368" t="str">
        <x:v>Evaluation design &amp; baseline</x:v>
      </x:c>
      <x:c r="B39" s="368" t="str">
        <x:v>Evaluation design &amp; baseline</x:v>
      </x:c>
      <x:c r="C39" s="368" t="str">
        <x:v>Evaluation design &amp; baseline</x:v>
      </x:c>
      <x:c r="D39" s="369" t="str">
        <x:v>Evaluation design &amp; baseline</x:v>
      </x:c>
      <x:c r="E39" s="369" t="str">
        <x:v>Evaluation design &amp; baseline</x:v>
      </x:c>
      <x:c r="F39" s="370" t="str">
        <x:v>Evaluation design &amp; baseline</x:v>
      </x:c>
      <x:c r="G39" s="371" t="str">
        <x:v>Evaluation design &amp; baseline</x:v>
      </x:c>
      <x:c r="H39" s="371" t="str">
        <x:v>Evaluation design &amp; baseline</x:v>
      </x:c>
      <x:c r="I39" s="371" t="str">
        <x:v>Evaluation design &amp; baseline</x:v>
      </x:c>
      <x:c r="J39" s="368" t="str">
        <x:v>Evaluation design &amp; baseline</x:v>
      </x:c>
      <x:c r="K39" s="368" t="str">
        <x:v>Evaluation design &amp; baseline</x:v>
      </x:c>
      <x:c r="L39" s="368" t="str">
        <x:v>Evaluation design &amp; baseline</x:v>
      </x:c>
      <x:c r="M39" s="368" t="str">
        <x:v>Evaluation design &amp; baseline</x:v>
      </x:c>
      <x:c r="N39" s="339"/>
      <x:c r="O39" s="339"/>
      <x:c r="P39" s="339"/>
      <x:c r="Q39" s="339"/>
      <x:c r="R39" s="339"/>
      <x:c r="S39" s="339"/>
      <x:c r="T39" s="339"/>
      <x:c r="U39" s="1194"/>
      <x:c r="V39" s="1194"/>
      <x:c r="W39" s="1194"/>
      <x:c r="X39" s="1194"/>
      <x:c r="Y39" s="339"/>
      <x:c r="Z39" s="339"/>
    </x:row>
    <x:row r="40">
      <x:c r="A40" s="28" t="str">
        <x:v>Evaluation design &amp; baseline</x:v>
      </x:c>
      <x:c r="B40" s="28" t="str">
        <x:v>Trial design, power analysis and pre-registration</x:v>
      </x:c>
      <x:c r="C40" s="28" t="str">
        <x:v>1,250 professional hours × $200</x:v>
      </x:c>
      <x:c r="D40" s="40" t="n">
        <x:v>1250</x:v>
      </x:c>
      <x:c r="E40" s="40" t="str">
        <x:v>hour</x:v>
      </x:c>
      <x:c r="F40" s="377" t="n">
        <x:v>200</x:v>
      </x:c>
      <x:c r="G40" s="378" t="n">
        <x:f>D40*F40*Assumptions!$D$9</x:f>
        <x:v>200000</x:v>
      </x:c>
      <x:c r="H40" s="378" t="n">
        <x:f>D40*F40*Assumptions!$E$9</x:f>
        <x:v>250000</x:v>
      </x:c>
      <x:c r="I40" s="378" t="n">
        <x:f>D40*F40*Assumptions!$F$9</x:f>
        <x:v>325000</x:v>
      </x:c>
      <x:c r="J40" s="35" t="str">
        <x:v>One-off</x:v>
      </x:c>
      <x:c r="K40" s="35" t="str">
        <x:v>A01;S04;S05</x:v>
      </x:c>
      <x:c r="L40" s="35" t="str">
        <x:v>Quote required</x:v>
      </x:c>
      <x:c r="M40" s="35" t="str">
        <x:v>Independent evaluator must confirm design and sample size.</x:v>
      </x:c>
      <x:c r="N40" s="339"/>
      <x:c r="O40" s="339"/>
      <x:c r="P40" s="339"/>
      <x:c r="Q40" s="339"/>
      <x:c r="R40" s="339"/>
      <x:c r="S40" s="339"/>
      <x:c r="T40" s="339"/>
      <x:c r="U40" s="1194"/>
      <x:c r="V40" s="1194"/>
      <x:c r="W40" s="1194"/>
      <x:c r="X40" s="1194"/>
      <x:c r="Y40" s="339"/>
      <x:c r="Z40" s="339"/>
    </x:row>
    <x:row r="41">
      <x:c r="A41" s="28" t="str">
        <x:v>Evaluation design &amp; baseline</x:v>
      </x:c>
      <x:c r="B41" s="28" t="str">
        <x:v>Data linkage, ethics and access preparation</x:v>
      </x:c>
      <x:c r="C41" s="28" t="str">
        <x:v>600 professional hours × $200</x:v>
      </x:c>
      <x:c r="D41" s="40" t="n">
        <x:v>600</x:v>
      </x:c>
      <x:c r="E41" s="40" t="str">
        <x:v>hour</x:v>
      </x:c>
      <x:c r="F41" s="377" t="n">
        <x:v>200</x:v>
      </x:c>
      <x:c r="G41" s="378" t="n">
        <x:f>D41*F41*Assumptions!$D$9</x:f>
        <x:v>96000</x:v>
      </x:c>
      <x:c r="H41" s="378" t="n">
        <x:f>D41*F41*Assumptions!$E$9</x:f>
        <x:v>120000</x:v>
      </x:c>
      <x:c r="I41" s="378" t="n">
        <x:f>D41*F41*Assumptions!$F$9</x:f>
        <x:v>156000</x:v>
      </x:c>
      <x:c r="J41" s="35" t="str">
        <x:v>One-off</x:v>
      </x:c>
      <x:c r="K41" s="35" t="str">
        <x:v>A01;S15</x:v>
      </x:c>
      <x:c r="L41" s="35" t="str">
        <x:v>Quote required</x:v>
      </x:c>
      <x:c r="M41" s="35" t="str">
        <x:v>IDI/data access fees and agency effort must be confirmed.</x:v>
      </x:c>
      <x:c r="N41" s="339"/>
      <x:c r="O41" s="339"/>
      <x:c r="P41" s="339"/>
      <x:c r="Q41" s="339"/>
      <x:c r="R41" s="339"/>
      <x:c r="S41" s="339"/>
      <x:c r="T41" s="339"/>
      <x:c r="U41" s="1194"/>
      <x:c r="V41" s="1194"/>
      <x:c r="W41" s="1194"/>
      <x:c r="X41" s="1194"/>
      <x:c r="Y41" s="339"/>
      <x:c r="Z41" s="339"/>
    </x:row>
    <x:row r="42">
      <x:c r="A42" s="28" t="str">
        <x:v>Evaluation design &amp; baseline</x:v>
      </x:c>
      <x:c r="B42" s="28" t="str">
        <x:v>Baseline instruments and cultural measures</x:v>
      </x:c>
      <x:c r="C42" s="28" t="str">
        <x:v>750 professional hours × $200</x:v>
      </x:c>
      <x:c r="D42" s="40" t="n">
        <x:v>750</x:v>
      </x:c>
      <x:c r="E42" s="40" t="str">
        <x:v>hour</x:v>
      </x:c>
      <x:c r="F42" s="377" t="n">
        <x:v>200</x:v>
      </x:c>
      <x:c r="G42" s="378" t="n">
        <x:f>D42*F42*Assumptions!$D$9</x:f>
        <x:v>120000</x:v>
      </x:c>
      <x:c r="H42" s="378" t="n">
        <x:f>D42*F42*Assumptions!$E$9</x:f>
        <x:v>150000</x:v>
      </x:c>
      <x:c r="I42" s="378" t="n">
        <x:f>D42*F42*Assumptions!$F$9</x:f>
        <x:v>195000</x:v>
      </x:c>
      <x:c r="J42" s="35" t="str">
        <x:v>One-off</x:v>
      </x:c>
      <x:c r="K42" s="35" t="str">
        <x:v>A01;S01</x:v>
      </x:c>
      <x:c r="L42" s="35" t="str">
        <x:v>Quote required</x:v>
      </x:c>
      <x:c r="M42" s="35" t="str">
        <x:v>Includes wellbeing, belonging, work displacement and school burden measures.</x:v>
      </x:c>
      <x:c r="N42" s="339"/>
      <x:c r="O42" s="339"/>
      <x:c r="P42" s="339"/>
      <x:c r="Q42" s="339"/>
      <x:c r="R42" s="339"/>
      <x:c r="S42" s="339"/>
      <x:c r="T42" s="339"/>
      <x:c r="U42" s="1194"/>
      <x:c r="V42" s="1194"/>
      <x:c r="W42" s="1194"/>
      <x:c r="X42" s="1194"/>
      <x:c r="Y42" s="339"/>
      <x:c r="Z42" s="339"/>
    </x:row>
    <x:row r="43">
      <x:c r="A43" s="373" t="str">
        <x:v>Evaluation design &amp; baseline subtotal</x:v>
      </x:c>
      <x:c r="B43" s="373"/>
      <x:c r="C43" s="373"/>
      <x:c r="D43" s="374"/>
      <x:c r="E43" s="374"/>
      <x:c r="F43" s="375"/>
      <x:c r="G43" s="376" t="n">
        <x:f>SUM(G40:G42)</x:f>
        <x:v>416000</x:v>
      </x:c>
      <x:c r="H43" s="376" t="n">
        <x:f>SUM(H40:H42)</x:f>
        <x:v>520000</x:v>
      </x:c>
      <x:c r="I43" s="376" t="n">
        <x:f>SUM(I40:I42)</x:f>
        <x:v>676000</x:v>
      </x:c>
      <x:c r="J43" s="373"/>
      <x:c r="K43" s="373"/>
      <x:c r="L43" s="373"/>
      <x:c r="M43" s="373"/>
      <x:c r="N43" s="339"/>
      <x:c r="O43" s="339"/>
      <x:c r="P43" s="339"/>
      <x:c r="Q43" s="339"/>
      <x:c r="R43" s="339"/>
      <x:c r="S43" s="339"/>
      <x:c r="T43" s="339"/>
      <x:c r="U43" s="1194"/>
      <x:c r="V43" s="1194"/>
      <x:c r="W43" s="1194"/>
      <x:c r="X43" s="1194"/>
      <x:c r="Y43" s="339"/>
      <x:c r="Z43" s="339"/>
    </x:row>
    <x:row r="44">
      <x:c r="A44" s="28"/>
      <x:c r="B44" s="28"/>
      <x:c r="C44" s="28"/>
      <x:c r="D44" s="40"/>
      <x:c r="E44" s="40"/>
      <x:c r="F44" s="48"/>
      <x:c r="G44" s="372"/>
      <x:c r="H44" s="372"/>
      <x:c r="I44" s="372"/>
      <x:c r="J44" s="28"/>
      <x:c r="K44" s="28"/>
      <x:c r="L44" s="28"/>
      <x:c r="M44" s="28"/>
      <x:c r="N44" s="339"/>
      <x:c r="O44" s="339"/>
      <x:c r="P44" s="339"/>
      <x:c r="Q44" s="339"/>
      <x:c r="R44" s="339"/>
      <x:c r="S44" s="339"/>
      <x:c r="T44" s="339"/>
      <x:c r="U44" s="1194"/>
      <x:c r="V44" s="1194"/>
      <x:c r="W44" s="1194"/>
      <x:c r="X44" s="1194"/>
      <x:c r="Y44" s="339"/>
      <x:c r="Z44" s="339"/>
    </x:row>
    <x:row r="45" ht="21" customHeight="1">
      <x:c r="A45" s="368" t="str">
        <x:v>Implementation readiness &amp; assurance</x:v>
      </x:c>
      <x:c r="B45" s="368" t="str">
        <x:v>Implementation readiness &amp; assurance</x:v>
      </x:c>
      <x:c r="C45" s="368" t="str">
        <x:v>Implementation readiness &amp; assurance</x:v>
      </x:c>
      <x:c r="D45" s="369" t="str">
        <x:v>Implementation readiness &amp; assurance</x:v>
      </x:c>
      <x:c r="E45" s="369" t="str">
        <x:v>Implementation readiness &amp; assurance</x:v>
      </x:c>
      <x:c r="F45" s="370" t="str">
        <x:v>Implementation readiness &amp; assurance</x:v>
      </x:c>
      <x:c r="G45" s="371" t="str">
        <x:v>Implementation readiness &amp; assurance</x:v>
      </x:c>
      <x:c r="H45" s="371" t="str">
        <x:v>Implementation readiness &amp; assurance</x:v>
      </x:c>
      <x:c r="I45" s="371" t="str">
        <x:v>Implementation readiness &amp; assurance</x:v>
      </x:c>
      <x:c r="J45" s="368" t="str">
        <x:v>Implementation readiness &amp; assurance</x:v>
      </x:c>
      <x:c r="K45" s="368" t="str">
        <x:v>Implementation readiness &amp; assurance</x:v>
      </x:c>
      <x:c r="L45" s="368" t="str">
        <x:v>Implementation readiness &amp; assurance</x:v>
      </x:c>
      <x:c r="M45" s="368" t="str">
        <x:v>Implementation readiness &amp; assurance</x:v>
      </x:c>
      <x:c r="N45" s="339"/>
      <x:c r="O45" s="339"/>
      <x:c r="P45" s="339"/>
      <x:c r="Q45" s="339"/>
      <x:c r="R45" s="339"/>
      <x:c r="S45" s="339"/>
      <x:c r="T45" s="339"/>
      <x:c r="U45" s="1194"/>
      <x:c r="V45" s="1194"/>
      <x:c r="W45" s="1194"/>
      <x:c r="X45" s="1194"/>
      <x:c r="Y45" s="339"/>
      <x:c r="Z45" s="339"/>
    </x:row>
    <x:row r="46">
      <x:c r="A46" s="28" t="str">
        <x:v>Implementation readiness &amp; assurance</x:v>
      </x:c>
      <x:c r="B46" s="28" t="str">
        <x:v>School readiness grants</x:v>
      </x:c>
      <x:c r="C46" s="28" t="str">
        <x:v>8 schools × $40,000 allowance</x:v>
      </x:c>
      <x:c r="D46" s="40" t="n">
        <x:v>8</x:v>
      </x:c>
      <x:c r="E46" s="40" t="str">
        <x:v>school</x:v>
      </x:c>
      <x:c r="F46" s="377" t="n">
        <x:v>40000</x:v>
      </x:c>
      <x:c r="G46" s="378" t="n">
        <x:f>D46*F46*Assumptions!$D$9</x:f>
        <x:v>256000</x:v>
      </x:c>
      <x:c r="H46" s="378" t="n">
        <x:f>D46*F46*Assumptions!$E$9</x:f>
        <x:v>320000</x:v>
      </x:c>
      <x:c r="I46" s="378" t="n">
        <x:f>D46*F46*Assumptions!$F$9</x:f>
        <x:v>416000</x:v>
      </x:c>
      <x:c r="J46" s="35" t="str">
        <x:v>One-off</x:v>
      </x:c>
      <x:c r="K46" s="35" t="str">
        <x:v>A03</x:v>
      </x:c>
      <x:c r="L46" s="35" t="str">
        <x:v>School validation required</x:v>
      </x:c>
      <x:c r="M46" s="35" t="str">
        <x:v>Test actual staffing, timetable, consent and system-integration burden.</x:v>
      </x:c>
      <x:c r="N46" s="339"/>
      <x:c r="O46" s="339"/>
      <x:c r="P46" s="339"/>
      <x:c r="Q46" s="339"/>
      <x:c r="R46" s="339"/>
      <x:c r="S46" s="339"/>
      <x:c r="T46" s="339"/>
      <x:c r="U46" s="1194"/>
      <x:c r="V46" s="1194"/>
      <x:c r="W46" s="1194"/>
      <x:c r="X46" s="1194"/>
      <x:c r="Y46" s="339"/>
      <x:c r="Z46" s="339"/>
    </x:row>
    <x:row r="47">
      <x:c r="A47" s="28" t="str">
        <x:v>Implementation readiness &amp; assurance</x:v>
      </x:c>
      <x:c r="B47" s="28" t="str">
        <x:v>Regional partner and site-readiness agreements</x:v>
      </x:c>
      <x:c r="C47" s="28" t="str">
        <x:v>750 professional hours × $200</x:v>
      </x:c>
      <x:c r="D47" s="40" t="n">
        <x:v>750</x:v>
      </x:c>
      <x:c r="E47" s="40" t="str">
        <x:v>hour</x:v>
      </x:c>
      <x:c r="F47" s="377" t="n">
        <x:v>200</x:v>
      </x:c>
      <x:c r="G47" s="378" t="n">
        <x:f>D47*F47*Assumptions!$D$9</x:f>
        <x:v>120000</x:v>
      </x:c>
      <x:c r="H47" s="378" t="n">
        <x:f>D47*F47*Assumptions!$E$9</x:f>
        <x:v>150000</x:v>
      </x:c>
      <x:c r="I47" s="378" t="n">
        <x:f>D47*F47*Assumptions!$F$9</x:f>
        <x:v>195000</x:v>
      </x:c>
      <x:c r="J47" s="35" t="str">
        <x:v>One-off</x:v>
      </x:c>
      <x:c r="K47" s="35" t="str">
        <x:v>A01;S01</x:v>
      </x:c>
      <x:c r="L47" s="35" t="str">
        <x:v>Quote required</x:v>
      </x:c>
      <x:c r="M47" s="35" t="str">
        <x:v>Retail, volunteering, course-provider, safeguarding and escalation agreements.</x:v>
      </x:c>
      <x:c r="N47" s="339"/>
      <x:c r="O47" s="339"/>
      <x:c r="P47" s="339"/>
      <x:c r="Q47" s="339"/>
      <x:c r="R47" s="339"/>
      <x:c r="S47" s="339"/>
      <x:c r="T47" s="339"/>
      <x:c r="U47" s="1194"/>
      <x:c r="V47" s="1194"/>
      <x:c r="W47" s="1194"/>
      <x:c r="X47" s="1194"/>
      <x:c r="Y47" s="339"/>
      <x:c r="Z47" s="339"/>
    </x:row>
    <x:row r="48">
      <x:c r="A48" s="28" t="str">
        <x:v>Implementation readiness &amp; assurance</x:v>
      </x:c>
      <x:c r="B48" s="28" t="str">
        <x:v>Communications, financial-literacy interface and implementation materials</x:v>
      </x:c>
      <x:c r="C48" s="28" t="str">
        <x:v>400 professional hours × $200</x:v>
      </x:c>
      <x:c r="D48" s="40" t="n">
        <x:v>400</x:v>
      </x:c>
      <x:c r="E48" s="40" t="str">
        <x:v>hour</x:v>
      </x:c>
      <x:c r="F48" s="377" t="n">
        <x:v>200</x:v>
      </x:c>
      <x:c r="G48" s="378" t="n">
        <x:f>D48*F48*Assumptions!$D$9</x:f>
        <x:v>64000</x:v>
      </x:c>
      <x:c r="H48" s="378" t="n">
        <x:f>D48*F48*Assumptions!$E$9</x:f>
        <x:v>80000</x:v>
      </x:c>
      <x:c r="I48" s="378" t="n">
        <x:f>D48*F48*Assumptions!$F$9</x:f>
        <x:v>104000</x:v>
      </x:c>
      <x:c r="J48" s="35" t="str">
        <x:v>One-off</x:v>
      </x:c>
      <x:c r="K48" s="35" t="str">
        <x:v>A01</x:v>
      </x:c>
      <x:c r="L48" s="35" t="str">
        <x:v>Quote required</x:v>
      </x:c>
      <x:c r="M48" s="35" t="str">
        <x:v>Includes plain-language risk disclosure, account statements, approved-use guidance and staged apprenticeship-withdrawal instructions.</x:v>
      </x:c>
      <x:c r="N48" s="339"/>
      <x:c r="O48" s="339"/>
      <x:c r="P48" s="339"/>
      <x:c r="Q48" s="339"/>
      <x:c r="R48" s="339"/>
      <x:c r="S48" s="339"/>
      <x:c r="T48" s="339"/>
      <x:c r="U48" s="1194"/>
      <x:c r="V48" s="1194"/>
      <x:c r="W48" s="1194"/>
      <x:c r="X48" s="1194"/>
      <x:c r="Y48" s="339"/>
      <x:c r="Z48" s="339"/>
    </x:row>
    <x:row r="49">
      <x:c r="A49" s="28" t="str">
        <x:v>Implementation readiness &amp; assurance</x:v>
      </x:c>
      <x:c r="B49" s="28" t="str">
        <x:v>Independent quality assurance / Gateway-style review</x:v>
      </x:c>
      <x:c r="C49" s="28" t="str">
        <x:v>600 professional hours × $200</x:v>
      </x:c>
      <x:c r="D49" s="40" t="n">
        <x:v>600</x:v>
      </x:c>
      <x:c r="E49" s="40" t="str">
        <x:v>hour</x:v>
      </x:c>
      <x:c r="F49" s="377" t="n">
        <x:v>200</x:v>
      </x:c>
      <x:c r="G49" s="378" t="n">
        <x:f>D49*F49*Assumptions!$D$9</x:f>
        <x:v>96000</x:v>
      </x:c>
      <x:c r="H49" s="378" t="n">
        <x:f>D49*F49*Assumptions!$E$9</x:f>
        <x:v>120000</x:v>
      </x:c>
      <x:c r="I49" s="378" t="n">
        <x:f>D49*F49*Assumptions!$F$9</x:f>
        <x:v>156000</x:v>
      </x:c>
      <x:c r="J49" s="35" t="str">
        <x:v>One-off</x:v>
      </x:c>
      <x:c r="K49" s="35" t="str">
        <x:v>A01;S07</x:v>
      </x:c>
      <x:c r="L49" s="35" t="str">
        <x:v>Quote required</x:v>
      </x:c>
      <x:c r="M49" s="35" t="str">
        <x:v>Formal review requirements depend on agency risk assessment.</x:v>
      </x:c>
      <x:c r="N49" s="339"/>
      <x:c r="O49" s="339"/>
      <x:c r="P49" s="339"/>
      <x:c r="Q49" s="339"/>
      <x:c r="R49" s="339"/>
      <x:c r="S49" s="339"/>
      <x:c r="T49" s="339"/>
      <x:c r="U49" s="1194"/>
      <x:c r="V49" s="1194"/>
      <x:c r="W49" s="1194"/>
      <x:c r="X49" s="1194"/>
      <x:c r="Y49" s="339"/>
      <x:c r="Z49" s="339"/>
    </x:row>
    <x:row r="50">
      <x:c r="A50" s="373" t="str">
        <x:v>Implementation readiness &amp; assurance subtotal</x:v>
      </x:c>
      <x:c r="B50" s="373"/>
      <x:c r="C50" s="373"/>
      <x:c r="D50" s="374"/>
      <x:c r="E50" s="374"/>
      <x:c r="F50" s="375"/>
      <x:c r="G50" s="376" t="n">
        <x:f>SUM(G46:G49)</x:f>
        <x:v>536000</x:v>
      </x:c>
      <x:c r="H50" s="376" t="n">
        <x:f>SUM(H46:H49)</x:f>
        <x:v>670000</x:v>
      </x:c>
      <x:c r="I50" s="376" t="n">
        <x:f>SUM(I46:I49)</x:f>
        <x:v>871000</x:v>
      </x:c>
      <x:c r="J50" s="373"/>
      <x:c r="K50" s="373"/>
      <x:c r="L50" s="373"/>
      <x:c r="M50" s="373"/>
      <x:c r="N50" s="339"/>
      <x:c r="O50" s="339"/>
      <x:c r="P50" s="339"/>
      <x:c r="Q50" s="339"/>
      <x:c r="R50" s="339"/>
      <x:c r="S50" s="339"/>
      <x:c r="T50" s="339"/>
      <x:c r="U50" s="1194"/>
      <x:c r="V50" s="1194"/>
      <x:c r="W50" s="1194"/>
      <x:c r="X50" s="1194"/>
      <x:c r="Y50" s="339"/>
      <x:c r="Z50" s="339"/>
    </x:row>
    <x:row r="51">
      <x:c r="A51" s="28"/>
      <x:c r="B51" s="28"/>
      <x:c r="C51" s="28"/>
      <x:c r="D51" s="40"/>
      <x:c r="E51" s="40"/>
      <x:c r="F51" s="48"/>
      <x:c r="G51" s="372"/>
      <x:c r="H51" s="372"/>
      <x:c r="I51" s="372"/>
      <x:c r="J51" s="28"/>
      <x:c r="K51" s="28"/>
      <x:c r="L51" s="28"/>
      <x:c r="M51" s="28"/>
      <x:c r="N51" s="339"/>
      <x:c r="O51" s="339"/>
      <x:c r="P51" s="339"/>
      <x:c r="Q51" s="339"/>
      <x:c r="R51" s="339"/>
      <x:c r="S51" s="339"/>
      <x:c r="T51" s="339"/>
      <x:c r="U51" s="1194"/>
      <x:c r="V51" s="1194"/>
      <x:c r="W51" s="1194"/>
      <x:c r="X51" s="1194"/>
      <x:c r="Y51" s="339"/>
      <x:c r="Z51" s="339"/>
    </x:row>
    <x:row r="52">
      <x:c r="A52" s="379" t="str">
        <x:v>Subtotal before contingency</x:v>
      </x:c>
      <x:c r="B52" s="379"/>
      <x:c r="C52" s="379"/>
      <x:c r="D52" s="380"/>
      <x:c r="E52" s="380"/>
      <x:c r="F52" s="381"/>
      <x:c r="G52" s="382" t="n">
        <x:f>G11+G20+G28+G37+G43+G50</x:f>
        <x:v>3781600</x:v>
      </x:c>
      <x:c r="H52" s="382" t="n">
        <x:f>H11+H20+H28+H37+H43+H50</x:f>
        <x:v>4727000</x:v>
      </x:c>
      <x:c r="I52" s="382" t="n">
        <x:f>I11+I20+I28+I37+I43+I50</x:f>
        <x:v>6145100</x:v>
      </x:c>
      <x:c r="J52" s="379"/>
      <x:c r="K52" s="379"/>
      <x:c r="L52" s="379"/>
      <x:c r="M52" s="379"/>
      <x:c r="N52" s="339"/>
      <x:c r="O52" s="339"/>
      <x:c r="P52" s="339"/>
      <x:c r="Q52" s="339"/>
      <x:c r="R52" s="339"/>
      <x:c r="S52" s="339"/>
      <x:c r="T52" s="339"/>
      <x:c r="U52" s="1194"/>
      <x:c r="V52" s="1194"/>
      <x:c r="W52" s="1194"/>
      <x:c r="X52" s="1194"/>
      <x:c r="Y52" s="339"/>
      <x:c r="Z52" s="339"/>
    </x:row>
    <x:row r="53">
      <x:c r="A53" s="373" t="str">
        <x:v>Contingency / quantified risk allowance</x:v>
      </x:c>
      <x:c r="B53" s="373"/>
      <x:c r="C53" s="373"/>
      <x:c r="D53" s="374"/>
      <x:c r="E53" s="374"/>
      <x:c r="F53" s="375"/>
      <x:c r="G53" s="376" t="n">
        <x:f>G52*Assumptions!$D$10</x:f>
        <x:v>378160</x:v>
      </x:c>
      <x:c r="H53" s="376" t="n">
        <x:f>H52*Assumptions!$E$10</x:f>
        <x:v>590875</x:v>
      </x:c>
      <x:c r="I53" s="376" t="n">
        <x:f>I52*Assumptions!$F$10</x:f>
        <x:v>1229020</x:v>
      </x:c>
      <x:c r="J53" s="373"/>
      <x:c r="K53" s="373"/>
      <x:c r="L53" s="373"/>
      <x:c r="M53" s="373"/>
      <x:c r="N53" s="339"/>
      <x:c r="O53" s="339"/>
      <x:c r="P53" s="339"/>
      <x:c r="Q53" s="339"/>
      <x:c r="R53" s="339"/>
      <x:c r="S53" s="339"/>
      <x:c r="T53" s="339"/>
      <x:c r="U53" s="1194"/>
      <x:c r="V53" s="1194"/>
      <x:c r="W53" s="1194"/>
      <x:c r="X53" s="1194"/>
      <x:c r="Y53" s="339"/>
      <x:c r="Z53" s="339"/>
    </x:row>
    <x:row r="54">
      <x:c r="A54" s="383" t="str">
        <x:v>STAGE 0 — TOTAL YEAR 0 FUNDING RANGE</x:v>
      </x:c>
      <x:c r="B54" s="383"/>
      <x:c r="C54" s="383"/>
      <x:c r="D54" s="384"/>
      <x:c r="E54" s="384"/>
      <x:c r="F54" s="385"/>
      <x:c r="G54" s="386" t="n">
        <x:f>G52+G53</x:f>
        <x:v>4159760</x:v>
      </x:c>
      <x:c r="H54" s="386" t="n">
        <x:f>H52+H53</x:f>
        <x:v>5317875</x:v>
      </x:c>
      <x:c r="I54" s="386" t="n">
        <x:f>I52+I53</x:f>
        <x:v>7374120</x:v>
      </x:c>
      <x:c r="J54" s="383"/>
      <x:c r="K54" s="383"/>
      <x:c r="L54" s="383"/>
      <x:c r="M54" s="383"/>
      <x:c r="N54" s="339"/>
      <x:c r="O54" s="339"/>
      <x:c r="P54" s="339"/>
      <x:c r="Q54" s="339"/>
      <x:c r="R54" s="339"/>
      <x:c r="S54" s="339"/>
      <x:c r="T54" s="339"/>
      <x:c r="U54" s="1194"/>
      <x:c r="V54" s="1194"/>
      <x:c r="W54" s="1194"/>
      <x:c r="X54" s="1194"/>
      <x:c r="Y54" s="339"/>
      <x:c r="Z54" s="339"/>
    </x:row>
    <x:row r="55">
      <x:c r="A55" s="28"/>
      <x:c r="B55" s="28"/>
      <x:c r="C55" s="28"/>
      <x:c r="D55" s="28"/>
      <x:c r="E55" s="28"/>
      <x:c r="F55" s="28"/>
      <x:c r="G55" s="28"/>
      <x:c r="H55" s="28"/>
      <x:c r="I55" s="28"/>
      <x:c r="J55" s="28"/>
      <x:c r="K55" s="28"/>
      <x:c r="L55" s="28"/>
      <x:c r="M55" s="28"/>
      <x:c r="N55" s="339"/>
      <x:c r="O55" s="339"/>
      <x:c r="P55" s="339"/>
      <x:c r="Q55" s="339"/>
      <x:c r="R55" s="339"/>
      <x:c r="S55" s="339"/>
      <x:c r="T55" s="339"/>
      <x:c r="U55" s="1194"/>
      <x:c r="V55" s="1194"/>
      <x:c r="W55" s="1194"/>
      <x:c r="X55" s="1194"/>
      <x:c r="Y55" s="339"/>
      <x:c r="Z55" s="339"/>
    </x:row>
    <x:row r="56">
      <x:c r="A56" s="28"/>
      <x:c r="B56" s="28"/>
      <x:c r="C56" s="28"/>
      <x:c r="D56" s="28"/>
      <x:c r="E56" s="28"/>
      <x:c r="F56" s="28"/>
      <x:c r="G56" s="28"/>
      <x:c r="H56" s="28"/>
      <x:c r="I56" s="28"/>
      <x:c r="J56" s="28"/>
      <x:c r="K56" s="28"/>
      <x:c r="L56" s="28"/>
      <x:c r="M56" s="28"/>
      <x:c r="N56" s="339"/>
      <x:c r="O56" s="339"/>
      <x:c r="P56" s="339"/>
      <x:c r="Q56" s="339"/>
      <x:c r="R56" s="339"/>
      <x:c r="S56" s="339"/>
      <x:c r="T56" s="339"/>
      <x:c r="U56" s="1194"/>
      <x:c r="V56" s="1194"/>
      <x:c r="W56" s="1194"/>
      <x:c r="X56" s="1194"/>
      <x:c r="Y56" s="339"/>
      <x:c r="Z56" s="339"/>
    </x:row>
    <x:row r="57" ht="22" customHeight="1">
      <x:c r="A57" s="633" t="str">
        <x:v>Year 0 Learning Capital design deliverables — embedded in the allowances above</x:v>
      </x:c>
      <x:c r="B57" s="633" t="str">
        <x:v>Year 0 Learning Capital design deliverables — embedded in the allowances above</x:v>
      </x:c>
      <x:c r="C57" s="633" t="str">
        <x:v>Year 0 Learning Capital design deliverables — embedded in the allowances above</x:v>
      </x:c>
      <x:c r="D57" s="633" t="str">
        <x:v>Year 0 Learning Capital design deliverables — embedded in the allowances above</x:v>
      </x:c>
      <x:c r="E57" s="633" t="str">
        <x:v>Year 0 Learning Capital design deliverables — embedded in the allowances above</x:v>
      </x:c>
      <x:c r="F57" s="633" t="str">
        <x:v>Year 0 Learning Capital design deliverables — embedded in the allowances above</x:v>
      </x:c>
      <x:c r="G57" s="633" t="str">
        <x:v>Year 0 Learning Capital design deliverables — embedded in the allowances above</x:v>
      </x:c>
      <x:c r="H57" s="633" t="str">
        <x:v>Year 0 Learning Capital design deliverables — embedded in the allowances above</x:v>
      </x:c>
      <x:c r="I57" s="633" t="str">
        <x:v>Year 0 Learning Capital design deliverables — embedded in the allowances above</x:v>
      </x:c>
      <x:c r="J57" s="633" t="str">
        <x:v>Year 0 Learning Capital design deliverables — embedded in the allowances above</x:v>
      </x:c>
      <x:c r="K57" s="633" t="str">
        <x:v>Year 0 Learning Capital design deliverables — embedded in the allowances above</x:v>
      </x:c>
      <x:c r="L57" s="633" t="str">
        <x:v>Year 0 Learning Capital design deliverables — embedded in the allowances above</x:v>
      </x:c>
      <x:c r="M57" s="633" t="str">
        <x:v>Year 0 Learning Capital design deliverables — embedded in the allowances above</x:v>
      </x:c>
      <x:c r="N57" s="339"/>
      <x:c r="O57" s="339"/>
      <x:c r="P57" s="339"/>
      <x:c r="Q57" s="339"/>
      <x:c r="R57" s="339"/>
      <x:c r="S57" s="339"/>
      <x:c r="T57" s="339"/>
      <x:c r="U57" s="1194"/>
      <x:c r="V57" s="1194"/>
      <x:c r="W57" s="1194"/>
      <x:c r="X57" s="1194"/>
      <x:c r="Y57" s="339"/>
      <x:c r="Z57" s="339"/>
    </x:row>
    <x:row r="58" ht="30" customHeight="1">
      <x:c r="A58" s="498" t="str">
        <x:v>Deliverable</x:v>
      </x:c>
      <x:c r="B58" s="407" t="str">
        <x:v>Legal and accounting structure</x:v>
      </x:c>
      <x:c r="C58" s="28" t="str">
        <x:v>Ownership, beneficial interest, Crown control, vesting, restrictions and treatment under public-sector accounting</x:v>
      </x:c>
      <x:c r="D58" s="28" t="str"/>
      <x:c r="E58" s="28" t="str"/>
      <x:c r="F58" s="28" t="str"/>
      <x:c r="G58" s="28" t="str"/>
      <x:c r="H58" s="28" t="str"/>
      <x:c r="I58" s="28" t="str"/>
      <x:c r="J58" s="28" t="str"/>
      <x:c r="K58" s="28" t="str"/>
      <x:c r="L58" s="28" t="str"/>
      <x:c r="M58" s="28" t="str"/>
      <x:c r="N58" s="339"/>
      <x:c r="O58" s="339"/>
      <x:c r="P58" s="339"/>
      <x:c r="Q58" s="339"/>
      <x:c r="R58" s="339"/>
      <x:c r="S58" s="339"/>
      <x:c r="T58" s="339"/>
      <x:c r="U58" s="1194"/>
      <x:c r="V58" s="1194"/>
      <x:c r="W58" s="1194"/>
      <x:c r="X58" s="1194"/>
      <x:c r="Y58" s="339"/>
      <x:c r="Z58" s="339"/>
    </x:row>
    <x:row r="59" ht="30" customHeight="1">
      <x:c r="A59" s="498" t="str">
        <x:v>Deliverable</x:v>
      </x:c>
      <x:c r="B59" s="407" t="str">
        <x:v>Investment and custody mandate</x:v>
      </x:c>
      <x:c r="C59" s="28" t="str">
        <x:v>Regulated low-fee provider requirements, competitive procurement, custody, market-risk disclosure and lifecycle de-risking</x:v>
      </x:c>
      <x:c r="D59" s="28" t="str"/>
      <x:c r="E59" s="28" t="str"/>
      <x:c r="F59" s="28" t="str"/>
      <x:c r="G59" s="28" t="str"/>
      <x:c r="H59" s="28" t="str"/>
      <x:c r="I59" s="28" t="str"/>
      <x:c r="J59" s="28" t="str"/>
      <x:c r="K59" s="28" t="str"/>
      <x:c r="L59" s="28" t="str"/>
      <x:c r="M59" s="28" t="str"/>
      <x:c r="N59" s="339"/>
      <x:c r="O59" s="339"/>
      <x:c r="P59" s="339"/>
      <x:c r="Q59" s="339"/>
      <x:c r="R59" s="339"/>
      <x:c r="S59" s="339"/>
      <x:c r="T59" s="339"/>
      <x:c r="U59" s="1194"/>
      <x:c r="V59" s="1194"/>
      <x:c r="W59" s="1194"/>
      <x:c r="X59" s="1194"/>
      <x:c r="Y59" s="339"/>
      <x:c r="Z59" s="339"/>
    </x:row>
    <x:row r="60" ht="30" customHeight="1">
      <x:c r="A60" s="498" t="str">
        <x:v>Deliverable</x:v>
      </x:c>
      <x:c r="B60" s="407" t="str">
        <x:v>Tax and benefit treatment</x:v>
      </x:c>
      <x:c r="C60" s="28" t="str">
        <x:v>PIE/PIR or alternative tax treatment, family-income interactions, benefits, financial assistance and reporting</x:v>
      </x:c>
      <x:c r="D60" s="28" t="str"/>
      <x:c r="E60" s="28" t="str"/>
      <x:c r="F60" s="28" t="str"/>
      <x:c r="G60" s="28" t="str"/>
      <x:c r="H60" s="28" t="str"/>
      <x:c r="I60" s="28" t="str"/>
      <x:c r="J60" s="28" t="str"/>
      <x:c r="K60" s="28" t="str"/>
      <x:c r="L60" s="28" t="str"/>
      <x:c r="M60" s="28" t="str"/>
      <x:c r="N60" s="339"/>
      <x:c r="O60" s="339"/>
      <x:c r="P60" s="339"/>
      <x:c r="Q60" s="339"/>
      <x:c r="R60" s="339"/>
      <x:c r="S60" s="339"/>
      <x:c r="T60" s="339"/>
      <x:c r="U60" s="1194"/>
      <x:c r="V60" s="1194"/>
      <x:c r="W60" s="1194"/>
      <x:c r="X60" s="1194"/>
      <x:c r="Y60" s="339"/>
      <x:c r="Z60" s="339"/>
    </x:row>
    <x:row r="61" ht="30" customHeight="1">
      <x:c r="A61" s="498" t="str">
        <x:v>Deliverable</x:v>
      </x:c>
      <x:c r="B61" s="407" t="str">
        <x:v>Student-loan actuarial model</x:v>
      </x:c>
      <x:c r="C61" s="28" t="str">
        <x:v>Fair-value cost, repayment timing, inflation bridge, discounting, credit risk, overseas borrowers and double-counting controls</x:v>
      </x:c>
      <x:c r="D61" s="28" t="str"/>
      <x:c r="E61" s="28" t="str"/>
      <x:c r="F61" s="28" t="str"/>
      <x:c r="G61" s="28" t="str"/>
      <x:c r="H61" s="28" t="str"/>
      <x:c r="I61" s="28" t="str"/>
      <x:c r="J61" s="28" t="str"/>
      <x:c r="K61" s="28" t="str"/>
      <x:c r="L61" s="28" t="str"/>
      <x:c r="M61" s="28" t="str"/>
      <x:c r="N61" s="339"/>
      <x:c r="O61" s="339"/>
      <x:c r="P61" s="339"/>
      <x:c r="Q61" s="339"/>
      <x:c r="R61" s="339"/>
      <x:c r="S61" s="339"/>
      <x:c r="T61" s="339"/>
      <x:c r="U61" s="1194"/>
      <x:c r="V61" s="1194"/>
      <x:c r="W61" s="1194"/>
      <x:c r="X61" s="1194"/>
      <x:c r="Y61" s="339"/>
      <x:c r="Z61" s="339"/>
    </x:row>
    <x:row r="62" ht="30" customHeight="1">
      <x:c r="A62" s="498" t="str">
        <x:v>Deliverable</x:v>
      </x:c>
      <x:c r="B62" s="407" t="str">
        <x:v>Withdrawal and apprenticeship rules</x:v>
      </x:c>
      <x:c r="C62" s="28" t="str">
        <x:v>Approved tertiary uses, verified apprenticeship stages, completion tranche, unused-balance age limit and appeals</x:v>
      </x:c>
      <x:c r="D62" s="28" t="str"/>
      <x:c r="E62" s="28" t="str"/>
      <x:c r="F62" s="28" t="str"/>
      <x:c r="G62" s="28" t="str"/>
      <x:c r="H62" s="28" t="str"/>
      <x:c r="I62" s="28" t="str"/>
      <x:c r="J62" s="28" t="str"/>
      <x:c r="K62" s="28" t="str"/>
      <x:c r="L62" s="28" t="str"/>
      <x:c r="M62" s="28" t="str"/>
      <x:c r="N62" s="339"/>
      <x:c r="O62" s="339"/>
      <x:c r="P62" s="339"/>
      <x:c r="Q62" s="339"/>
      <x:c r="R62" s="339"/>
      <x:c r="S62" s="339"/>
      <x:c r="T62" s="339"/>
      <x:c r="U62" s="1194"/>
      <x:c r="V62" s="1194"/>
      <x:c r="W62" s="1194"/>
      <x:c r="X62" s="1194"/>
      <x:c r="Y62" s="339"/>
      <x:c r="Z62" s="339"/>
    </x:row>
    <x:row r="63" ht="30" customHeight="1">
      <x:c r="A63" s="498" t="str">
        <x:v>Deliverable</x:v>
      </x:c>
      <x:c r="B63" s="407" t="str">
        <x:v>Financial-literacy and consent interface</x:v>
      </x:c>
      <x:c r="C63" s="28" t="str">
        <x:v>Plain-language account statements, risks, fees, tax, withdrawal rules, participant consent and whānau information</x:v>
      </x:c>
      <x:c r="D63" s="28" t="str"/>
      <x:c r="E63" s="28" t="str"/>
      <x:c r="F63" s="28" t="str"/>
      <x:c r="G63" s="28" t="str"/>
      <x:c r="H63" s="28" t="str"/>
      <x:c r="I63" s="28" t="str"/>
      <x:c r="J63" s="28" t="str"/>
      <x:c r="K63" s="28" t="str"/>
      <x:c r="L63" s="28" t="str"/>
      <x:c r="M63" s="28" t="str"/>
      <x:c r="N63" s="339"/>
      <x:c r="O63" s="339"/>
      <x:c r="P63" s="339"/>
      <x:c r="Q63" s="339"/>
      <x:c r="R63" s="339"/>
      <x:c r="S63" s="339"/>
      <x:c r="T63" s="339"/>
      <x:c r="U63" s="1194"/>
      <x:c r="V63" s="1194"/>
      <x:c r="W63" s="1194"/>
      <x:c r="X63" s="1194"/>
      <x:c r="Y63" s="339"/>
      <x:c r="Z63" s="339"/>
    </x:row>
    <x:row r="64" ht="23" customHeight="1">
      <x:c r="A64" s="905" t="str">
        <x:v>Year 0 human-capital, labour-market and economic-validation deliverables — embedded in existing allowances</x:v>
      </x:c>
      <x:c r="B64" s="905"/>
      <x:c r="C64" s="905"/>
      <x:c r="D64" s="905"/>
      <x:c r="E64" s="905"/>
      <x:c r="F64" s="905"/>
      <x:c r="G64" s="905"/>
      <x:c r="H64" s="905"/>
      <x:c r="I64" s="905"/>
      <x:c r="J64" s="905"/>
      <x:c r="K64" s="905"/>
      <x:c r="L64" s="905"/>
      <x:c r="M64" s="905"/>
      <x:c r="N64" s="339"/>
      <x:c r="O64" s="339"/>
      <x:c r="P64" s="339"/>
      <x:c r="Q64" s="339"/>
      <x:c r="R64" s="339"/>
      <x:c r="S64" s="339"/>
      <x:c r="T64" s="339"/>
      <x:c r="U64" s="1194"/>
      <x:c r="V64" s="1194"/>
      <x:c r="W64" s="1194"/>
      <x:c r="X64" s="1194"/>
      <x:c r="Y64" s="339"/>
      <x:c r="Z64" s="339"/>
    </x:row>
    <x:row r="65" ht="32" customHeight="1">
      <x:c r="A65" s="890" t="str">
        <x:v>Deliverable</x:v>
      </x:c>
      <x:c r="B65" s="407" t="str">
        <x:v>Outcome ladder and evaluation pre-registration</x:v>
      </x:c>
      <x:c r="C65" s="28" t="str">
        <x:v>Attendance, attainment, transition, completion, employment, earnings, tax, benefits, loans and harms with explicit counterfactuals</x:v>
      </x:c>
      <x:c r="D65" s="28"/>
      <x:c r="E65" s="28"/>
      <x:c r="F65" s="28"/>
      <x:c r="G65" s="28"/>
      <x:c r="H65" s="28"/>
      <x:c r="I65" s="28"/>
      <x:c r="J65" s="28"/>
      <x:c r="K65" s="28"/>
      <x:c r="L65" s="28"/>
      <x:c r="M65" s="28"/>
      <x:c r="N65" s="339"/>
      <x:c r="O65" s="339"/>
      <x:c r="P65" s="339"/>
      <x:c r="Q65" s="339"/>
      <x:c r="R65" s="339"/>
      <x:c r="S65" s="339"/>
      <x:c r="T65" s="339"/>
      <x:c r="U65" s="1194"/>
      <x:c r="V65" s="1194"/>
      <x:c r="W65" s="1194"/>
      <x:c r="X65" s="1194"/>
      <x:c r="Y65" s="339"/>
      <x:c r="Z65" s="339"/>
    </x:row>
    <x:row r="66" ht="32" customHeight="1">
      <x:c r="A66" s="890" t="str">
        <x:v>Deliverable</x:v>
      </x:c>
      <x:c r="B66" s="407" t="str">
        <x:v>Whole-cohort earnings and tax model validation</x:v>
      </x:c>
      <x:c r="C66" s="28" t="str">
        <x:v>Age-earnings profile, employment, hours, migration, attribution, persistence, tax and ACC calculations independently reviewed</x:v>
      </x:c>
      <x:c r="D66" s="28"/>
      <x:c r="E66" s="28"/>
      <x:c r="F66" s="28"/>
      <x:c r="G66" s="28"/>
      <x:c r="H66" s="28"/>
      <x:c r="I66" s="28"/>
      <x:c r="J66" s="28"/>
      <x:c r="K66" s="28"/>
      <x:c r="L66" s="28"/>
      <x:c r="M66" s="28"/>
      <x:c r="N66" s="339"/>
      <x:c r="O66" s="339"/>
      <x:c r="P66" s="339"/>
      <x:c r="Q66" s="339"/>
      <x:c r="R66" s="339"/>
      <x:c r="S66" s="339"/>
      <x:c r="T66" s="339"/>
      <x:c r="U66" s="1194"/>
      <x:c r="V66" s="1194"/>
      <x:c r="W66" s="1194"/>
      <x:c r="X66" s="1194"/>
      <x:c r="Y66" s="339"/>
      <x:c r="Z66" s="339"/>
    </x:row>
    <x:row r="67" ht="32" customHeight="1">
      <x:c r="A67" s="890" t="str">
        <x:v>Deliverable</x:v>
      </x:c>
      <x:c r="B67" s="407" t="str">
        <x:v>Universal core and targeted accelerator service design</x:v>
      </x:c>
      <x:c r="C67" s="28" t="str">
        <x:v>Separate eligibility, intensity, unit cost, payment and support architecture</x:v>
      </x:c>
      <x:c r="D67" s="28"/>
      <x:c r="E67" s="28"/>
      <x:c r="F67" s="28"/>
      <x:c r="G67" s="28"/>
      <x:c r="H67" s="28"/>
      <x:c r="I67" s="28"/>
      <x:c r="J67" s="28"/>
      <x:c r="K67" s="28"/>
      <x:c r="L67" s="28"/>
      <x:c r="M67" s="28"/>
      <x:c r="N67" s="339"/>
      <x:c r="O67" s="339"/>
      <x:c r="P67" s="339"/>
      <x:c r="Q67" s="339"/>
      <x:c r="R67" s="339"/>
      <x:c r="S67" s="339"/>
      <x:c r="T67" s="339"/>
      <x:c r="U67" s="1194"/>
      <x:c r="V67" s="1194"/>
      <x:c r="W67" s="1194"/>
      <x:c r="X67" s="1194"/>
      <x:c r="Y67" s="339"/>
      <x:c r="Z67" s="339"/>
    </x:row>
    <x:row r="68" ht="32" customHeight="1">
      <x:c r="A68" s="890" t="str">
        <x:v>Deliverable</x:v>
      </x:c>
      <x:c r="B68" s="407" t="str">
        <x:v>Labour-market forecasting and general-equilibrium review</x:v>
      </x:c>
      <x:c r="C68" s="28" t="str">
        <x:v>Occupation demand, wages, vacancies, automation, regional mismatch, migration, provider capacity and worker displacement</x:v>
      </x:c>
      <x:c r="D68" s="28"/>
      <x:c r="E68" s="28"/>
      <x:c r="F68" s="28"/>
      <x:c r="G68" s="28"/>
      <x:c r="H68" s="28"/>
      <x:c r="I68" s="28"/>
      <x:c r="J68" s="28"/>
      <x:c r="K68" s="28"/>
      <x:c r="L68" s="28"/>
      <x:c r="M68" s="28"/>
      <x:c r="N68" s="339"/>
      <x:c r="O68" s="339"/>
      <x:c r="P68" s="339"/>
      <x:c r="Q68" s="339"/>
      <x:c r="R68" s="339"/>
      <x:c r="S68" s="339"/>
      <x:c r="T68" s="339"/>
      <x:c r="U68" s="1194"/>
      <x:c r="V68" s="1194"/>
      <x:c r="W68" s="1194"/>
      <x:c r="X68" s="1194"/>
      <x:c r="Y68" s="339"/>
      <x:c r="Z68" s="339"/>
    </x:row>
    <x:row r="69" ht="32" customHeight="1">
      <x:c r="A69" s="890" t="str">
        <x:v>Deliverable</x:v>
      </x:c>
      <x:c r="B69" s="407" t="str">
        <x:v>Industry co-investment governance</x:v>
      </x:c>
      <x:c r="C69" s="28" t="str">
        <x:v>Pooled funding, student choice, transferable credentials, worker representation and safeguards against occupation oversupply</x:v>
      </x:c>
      <x:c r="D69" s="28"/>
      <x:c r="E69" s="28"/>
      <x:c r="F69" s="28"/>
      <x:c r="G69" s="28"/>
      <x:c r="H69" s="28"/>
      <x:c r="I69" s="28"/>
      <x:c r="J69" s="28"/>
      <x:c r="K69" s="28"/>
      <x:c r="L69" s="28"/>
      <x:c r="M69" s="28"/>
      <x:c r="N69" s="339"/>
      <x:c r="O69" s="339"/>
      <x:c r="P69" s="339"/>
      <x:c r="Q69" s="339"/>
      <x:c r="R69" s="339"/>
      <x:c r="S69" s="339"/>
      <x:c r="T69" s="339"/>
      <x:c r="U69" s="1194"/>
      <x:c r="V69" s="1194"/>
      <x:c r="W69" s="1194"/>
      <x:c r="X69" s="1194"/>
      <x:c r="Y69" s="339"/>
      <x:c r="Z69" s="339"/>
    </x:row>
    <x:row r="70" ht="32" customHeight="1">
      <x:c r="A70" s="890" t="str">
        <x:v>Deliverable</x:v>
      </x:c>
      <x:c r="B70" s="407" t="str">
        <x:v>Economic stop / go thresholds</x:v>
      </x:c>
      <x:c r="C70" s="28" t="str">
        <x:v>Pre-agreed cost-per-outcome, BCR, fiscal, equity, workload, gaming and harm thresholds</x:v>
      </x:c>
      <x:c r="D70" s="28"/>
      <x:c r="E70" s="28"/>
      <x:c r="F70" s="28"/>
      <x:c r="G70" s="28"/>
      <x:c r="H70" s="28"/>
      <x:c r="I70" s="28"/>
      <x:c r="J70" s="28"/>
      <x:c r="K70" s="28"/>
      <x:c r="L70" s="28"/>
      <x:c r="M70" s="28"/>
      <x:c r="N70" s="339"/>
      <x:c r="O70" s="339"/>
      <x:c r="P70" s="339"/>
      <x:c r="Q70" s="339"/>
      <x:c r="R70" s="339"/>
      <x:c r="S70" s="339"/>
      <x:c r="T70" s="339"/>
      <x:c r="U70" s="1194"/>
      <x:c r="V70" s="1194"/>
      <x:c r="W70" s="1194"/>
      <x:c r="X70" s="1194"/>
      <x:c r="Y70" s="339"/>
      <x:c r="Z70" s="339"/>
    </x:row>
    <x:row r="71">
      <x:c r="A71" s="339"/>
      <x:c r="B71" s="339"/>
      <x:c r="C71" s="339"/>
      <x:c r="D71" s="339"/>
      <x:c r="E71" s="339"/>
      <x:c r="F71" s="339"/>
      <x:c r="G71" s="339"/>
      <x:c r="H71" s="339"/>
      <x:c r="I71" s="339"/>
      <x:c r="J71" s="339"/>
      <x:c r="K71" s="339"/>
      <x:c r="L71" s="339"/>
      <x:c r="M71" s="339"/>
      <x:c r="N71" s="339"/>
      <x:c r="O71" s="339"/>
      <x:c r="P71" s="339"/>
      <x:c r="Q71" s="339"/>
      <x:c r="R71" s="339"/>
      <x:c r="S71" s="339"/>
      <x:c r="T71" s="339"/>
      <x:c r="U71" s="1194"/>
      <x:c r="V71" s="1194"/>
      <x:c r="W71" s="1194"/>
      <x:c r="X71" s="1194"/>
      <x:c r="Y71" s="339"/>
      <x:c r="Z71" s="339"/>
    </x:row>
    <x:row r="72">
      <x:c r="A72" s="339"/>
      <x:c r="B72" s="339"/>
      <x:c r="C72" s="339"/>
      <x:c r="D72" s="339"/>
      <x:c r="E72" s="339"/>
      <x:c r="F72" s="339"/>
      <x:c r="G72" s="339"/>
      <x:c r="H72" s="339"/>
      <x:c r="I72" s="339"/>
      <x:c r="J72" s="339"/>
      <x:c r="K72" s="339"/>
      <x:c r="L72" s="339"/>
      <x:c r="M72" s="339"/>
      <x:c r="N72" s="339"/>
      <x:c r="O72" s="339"/>
      <x:c r="P72" s="339"/>
      <x:c r="Q72" s="339"/>
      <x:c r="R72" s="339"/>
      <x:c r="S72" s="339"/>
      <x:c r="T72" s="339"/>
      <x:c r="U72" s="1194"/>
      <x:c r="V72" s="1194"/>
      <x:c r="W72" s="1194"/>
      <x:c r="X72" s="1194"/>
      <x:c r="Y72" s="339"/>
      <x:c r="Z72" s="339"/>
    </x:row>
    <x:row r="73">
      <x:c r="A73" s="339"/>
      <x:c r="B73" s="339"/>
      <x:c r="C73" s="339"/>
      <x:c r="D73" s="339"/>
      <x:c r="E73" s="339"/>
      <x:c r="F73" s="339"/>
      <x:c r="G73" s="339"/>
      <x:c r="H73" s="339"/>
      <x:c r="I73" s="339"/>
      <x:c r="J73" s="339"/>
      <x:c r="K73" s="339"/>
      <x:c r="L73" s="339"/>
      <x:c r="M73" s="339"/>
      <x:c r="N73" s="339"/>
      <x:c r="O73" s="339"/>
      <x:c r="P73" s="339"/>
      <x:c r="Q73" s="339"/>
      <x:c r="R73" s="339"/>
      <x:c r="S73" s="339"/>
      <x:c r="T73" s="339"/>
      <x:c r="U73" s="1194"/>
      <x:c r="V73" s="1194"/>
      <x:c r="W73" s="1194"/>
      <x:c r="X73" s="1194"/>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1194"/>
      <x:c r="V74" s="1194"/>
      <x:c r="W74" s="1194"/>
      <x:c r="X74" s="1194"/>
      <x:c r="Y74" s="339"/>
      <x:c r="Z74" s="339"/>
    </x:row>
    <x:row r="75">
      <x:c r="A75" s="339"/>
      <x:c r="B75" s="339"/>
      <x:c r="C75" s="339"/>
      <x:c r="D75" s="339"/>
      <x:c r="E75" s="339"/>
      <x:c r="F75" s="339"/>
      <x:c r="G75" s="339"/>
      <x:c r="H75" s="339"/>
      <x:c r="I75" s="339"/>
      <x:c r="J75" s="339"/>
      <x:c r="K75" s="339"/>
      <x:c r="L75" s="339"/>
      <x:c r="M75" s="339"/>
      <x:c r="N75" s="339"/>
      <x:c r="O75" s="339"/>
      <x:c r="P75" s="339"/>
      <x:c r="Q75" s="339"/>
      <x:c r="R75" s="339"/>
      <x:c r="S75" s="339"/>
      <x:c r="T75" s="339"/>
      <x:c r="U75" s="1194"/>
      <x:c r="V75" s="1194"/>
      <x:c r="W75" s="1194"/>
      <x:c r="X75" s="1194"/>
      <x:c r="Y75" s="339"/>
      <x:c r="Z75" s="339"/>
    </x:row>
    <x:row r="76">
      <x:c r="A76" s="339"/>
      <x:c r="B76" s="339"/>
      <x:c r="C76" s="339"/>
      <x:c r="D76" s="339"/>
      <x:c r="E76" s="339"/>
      <x:c r="F76" s="339"/>
      <x:c r="G76" s="339"/>
      <x:c r="H76" s="339"/>
      <x:c r="I76" s="339"/>
      <x:c r="J76" s="339"/>
      <x:c r="K76" s="339"/>
      <x:c r="L76" s="339"/>
      <x:c r="M76" s="339"/>
      <x:c r="N76" s="339"/>
      <x:c r="O76" s="339"/>
      <x:c r="P76" s="339"/>
      <x:c r="Q76" s="339"/>
      <x:c r="R76" s="339"/>
      <x:c r="S76" s="339"/>
      <x:c r="T76" s="339"/>
      <x:c r="U76" s="1194"/>
      <x:c r="V76" s="1194"/>
      <x:c r="W76" s="1194"/>
      <x:c r="X76" s="1194"/>
      <x:c r="Y76" s="339"/>
      <x:c r="Z76" s="339"/>
    </x:row>
    <x:row r="77">
      <x:c r="A77" s="339"/>
      <x:c r="B77" s="339"/>
      <x:c r="C77" s="339"/>
      <x:c r="D77" s="339"/>
      <x:c r="E77" s="339"/>
      <x:c r="F77" s="339"/>
      <x:c r="G77" s="339"/>
      <x:c r="H77" s="339"/>
      <x:c r="I77" s="339"/>
      <x:c r="J77" s="339"/>
      <x:c r="K77" s="339"/>
      <x:c r="L77" s="339"/>
      <x:c r="M77" s="339"/>
      <x:c r="N77" s="339"/>
      <x:c r="O77" s="339"/>
      <x:c r="P77" s="339"/>
      <x:c r="Q77" s="339"/>
      <x:c r="R77" s="339"/>
      <x:c r="S77" s="339"/>
      <x:c r="T77" s="339"/>
      <x:c r="U77" s="1194"/>
      <x:c r="V77" s="1194"/>
      <x:c r="W77" s="1194"/>
      <x:c r="X77" s="1194"/>
      <x:c r="Y77" s="339"/>
      <x:c r="Z77" s="339"/>
    </x:row>
    <x:row r="78">
      <x:c r="A78" s="339"/>
      <x:c r="B78" s="339"/>
      <x:c r="C78" s="339"/>
      <x:c r="D78" s="339"/>
      <x:c r="E78" s="339"/>
      <x:c r="F78" s="339"/>
      <x:c r="G78" s="339"/>
      <x:c r="H78" s="339"/>
      <x:c r="I78" s="339"/>
      <x:c r="J78" s="339"/>
      <x:c r="K78" s="339"/>
      <x:c r="L78" s="339"/>
      <x:c r="M78" s="339"/>
      <x:c r="N78" s="339"/>
      <x:c r="O78" s="339"/>
      <x:c r="P78" s="339"/>
      <x:c r="Q78" s="339"/>
      <x:c r="R78" s="339"/>
      <x:c r="S78" s="339"/>
      <x:c r="T78" s="339"/>
      <x:c r="U78" s="1194"/>
      <x:c r="V78" s="1194"/>
      <x:c r="W78" s="1194"/>
      <x:c r="X78" s="1194"/>
      <x:c r="Y78" s="339"/>
      <x:c r="Z78" s="339"/>
    </x:row>
    <x:row r="79">
      <x:c r="A79" s="339"/>
      <x:c r="B79" s="339"/>
      <x:c r="C79" s="339"/>
      <x:c r="D79" s="339"/>
      <x:c r="E79" s="339"/>
      <x:c r="F79" s="339"/>
      <x:c r="G79" s="339"/>
      <x:c r="H79" s="339"/>
      <x:c r="I79" s="339"/>
      <x:c r="J79" s="339"/>
      <x:c r="K79" s="339"/>
      <x:c r="L79" s="339"/>
      <x:c r="M79" s="339"/>
      <x:c r="N79" s="339"/>
      <x:c r="O79" s="339"/>
      <x:c r="P79" s="339"/>
      <x:c r="Q79" s="339"/>
      <x:c r="R79" s="339"/>
      <x:c r="S79" s="339"/>
      <x:c r="T79" s="339"/>
      <x:c r="U79" s="1194"/>
      <x:c r="V79" s="1194"/>
      <x:c r="W79" s="1194"/>
      <x:c r="X79" s="1194"/>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1194"/>
      <x:c r="V80" s="1194"/>
      <x:c r="W80" s="1194"/>
      <x:c r="X80" s="1194"/>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1194"/>
      <x:c r="V81" s="1194"/>
      <x:c r="W81" s="1194"/>
      <x:c r="X81" s="1194"/>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1194"/>
      <x:c r="V82" s="1194"/>
      <x:c r="W82" s="1194"/>
      <x:c r="X82" s="1194"/>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1194"/>
      <x:c r="V83" s="1194"/>
      <x:c r="W83" s="1194"/>
      <x:c r="X83" s="1194"/>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1194"/>
      <x:c r="V84" s="1194"/>
      <x:c r="W84" s="1194"/>
      <x:c r="X84" s="1194"/>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1194"/>
      <x:c r="V85" s="1194"/>
      <x:c r="W85" s="1194"/>
      <x:c r="X85" s="1194"/>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1194"/>
      <x:c r="V86" s="1194"/>
      <x:c r="W86" s="1194"/>
      <x:c r="X86" s="1194"/>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1194"/>
      <x:c r="V87" s="1194"/>
      <x:c r="W87" s="1194"/>
      <x:c r="X87" s="1194"/>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1194"/>
      <x:c r="V88" s="1194"/>
      <x:c r="W88" s="1194"/>
      <x:c r="X88" s="1194"/>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1194"/>
      <x:c r="V89" s="1194"/>
      <x:c r="W89" s="1194"/>
      <x:c r="X89" s="1194"/>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1194"/>
      <x:c r="V90" s="1194"/>
      <x:c r="W90" s="1194"/>
      <x:c r="X90" s="1194"/>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1194"/>
      <x:c r="V91" s="1194"/>
      <x:c r="W91" s="1194"/>
      <x:c r="X91" s="1194"/>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1194"/>
      <x:c r="V92" s="1194"/>
      <x:c r="W92" s="1194"/>
      <x:c r="X92" s="1194"/>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1194"/>
      <x:c r="V93" s="1194"/>
      <x:c r="W93" s="1194"/>
      <x:c r="X93" s="1194"/>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1194"/>
      <x:c r="V94" s="1194"/>
      <x:c r="W94" s="1194"/>
      <x:c r="X94" s="1194"/>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1194"/>
      <x:c r="V95" s="1194"/>
      <x:c r="W95" s="1194"/>
      <x:c r="X95" s="1194"/>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1194"/>
      <x:c r="V96" s="1194"/>
      <x:c r="W96" s="1194"/>
      <x:c r="X96" s="1194"/>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1194"/>
      <x:c r="V97" s="1194"/>
      <x:c r="W97" s="1194"/>
      <x:c r="X97" s="1194"/>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1194"/>
      <x:c r="V98" s="1194"/>
      <x:c r="W98" s="1194"/>
      <x:c r="X98" s="1194"/>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1194"/>
      <x:c r="V99" s="1194"/>
      <x:c r="W99" s="1194"/>
      <x:c r="X99" s="1194"/>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1194"/>
      <x:c r="V100" s="1194"/>
      <x:c r="W100" s="1194"/>
      <x:c r="X100" s="1194"/>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1194"/>
      <x:c r="V101" s="1194"/>
      <x:c r="W101" s="1194"/>
      <x:c r="X101" s="1194"/>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1194"/>
      <x:c r="V102" s="1194"/>
      <x:c r="W102" s="1194"/>
      <x:c r="X102" s="1194"/>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1194"/>
      <x:c r="V103" s="1194"/>
      <x:c r="W103" s="1194"/>
      <x:c r="X103" s="1194"/>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1194"/>
      <x:c r="V104" s="1194"/>
      <x:c r="W104" s="1194"/>
      <x:c r="X104" s="1194"/>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1194"/>
      <x:c r="V105" s="1194"/>
      <x:c r="W105" s="1194"/>
      <x:c r="X105" s="1194"/>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1194"/>
      <x:c r="V106" s="1194"/>
      <x:c r="W106" s="1194"/>
      <x:c r="X106" s="1194"/>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1194"/>
      <x:c r="V107" s="1194"/>
      <x:c r="W107" s="1194"/>
      <x:c r="X107" s="1194"/>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1194"/>
      <x:c r="V108" s="1194"/>
      <x:c r="W108" s="1194"/>
      <x:c r="X108" s="1194"/>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1194"/>
      <x:c r="V109" s="1194"/>
      <x:c r="W109" s="1194"/>
      <x:c r="X109" s="1194"/>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1194"/>
      <x:c r="V110" s="1194"/>
      <x:c r="W110" s="1194"/>
      <x:c r="X110" s="1194"/>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1194"/>
      <x:c r="V111" s="1194"/>
      <x:c r="W111" s="1194"/>
      <x:c r="X111" s="1194"/>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1194"/>
      <x:c r="V112" s="1194"/>
      <x:c r="W112" s="1194"/>
      <x:c r="X112" s="1194"/>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1194"/>
      <x:c r="V113" s="1194"/>
      <x:c r="W113" s="1194"/>
      <x:c r="X113" s="1194"/>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1194"/>
      <x:c r="V114" s="1194"/>
      <x:c r="W114" s="1194"/>
      <x:c r="X114" s="1194"/>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1194"/>
      <x:c r="V115" s="1194"/>
      <x:c r="W115" s="1194"/>
      <x:c r="X115" s="1194"/>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1194"/>
      <x:c r="V116" s="1194"/>
      <x:c r="W116" s="1194"/>
      <x:c r="X116" s="1194"/>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1194"/>
      <x:c r="V117" s="1194"/>
      <x:c r="W117" s="1194"/>
      <x:c r="X117" s="1194"/>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1194"/>
      <x:c r="V118" s="1194"/>
      <x:c r="W118" s="1194"/>
      <x:c r="X118" s="1194"/>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1194"/>
      <x:c r="V119" s="1194"/>
      <x:c r="W119" s="1194"/>
      <x:c r="X119" s="1194"/>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1194"/>
      <x:c r="V120" s="1194"/>
      <x:c r="W120" s="1194"/>
      <x:c r="X120" s="1194"/>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1194"/>
      <x:c r="V121" s="1194"/>
      <x:c r="W121" s="1194"/>
      <x:c r="X121" s="1194"/>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1194"/>
      <x:c r="V122" s="1194"/>
      <x:c r="W122" s="1194"/>
      <x:c r="X122" s="1194"/>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1194"/>
      <x:c r="V123" s="1194"/>
      <x:c r="W123" s="1194"/>
      <x:c r="X123" s="1194"/>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1194"/>
      <x:c r="V124" s="1194"/>
      <x:c r="W124" s="1194"/>
      <x:c r="X124" s="1194"/>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1194"/>
      <x:c r="V125" s="1194"/>
      <x:c r="W125" s="1194"/>
      <x:c r="X125" s="1194"/>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1194"/>
      <x:c r="V126" s="1194"/>
      <x:c r="W126" s="1194"/>
      <x:c r="X126" s="1194"/>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1194"/>
      <x:c r="V127" s="1194"/>
      <x:c r="W127" s="1194"/>
      <x:c r="X127" s="1194"/>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1194"/>
      <x:c r="V128" s="1194"/>
      <x:c r="W128" s="1194"/>
      <x:c r="X128" s="1194"/>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1194"/>
      <x:c r="V129" s="1194"/>
      <x:c r="W129" s="1194"/>
      <x:c r="X129" s="1194"/>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1194"/>
      <x:c r="V130" s="1194"/>
      <x:c r="W130" s="1194"/>
      <x:c r="X130" s="1194"/>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1194"/>
      <x:c r="V131" s="1194"/>
      <x:c r="W131" s="1194"/>
      <x:c r="X131" s="1194"/>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1194"/>
      <x:c r="V132" s="1194"/>
      <x:c r="W132" s="1194"/>
      <x:c r="X132" s="1194"/>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1194"/>
      <x:c r="V133" s="1194"/>
      <x:c r="W133" s="1194"/>
      <x:c r="X133" s="1194"/>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1194"/>
      <x:c r="V134" s="1194"/>
      <x:c r="W134" s="1194"/>
      <x:c r="X134" s="1194"/>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1194"/>
      <x:c r="V135" s="1194"/>
      <x:c r="W135" s="1194"/>
      <x:c r="X135" s="1194"/>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1194"/>
      <x:c r="V136" s="1194"/>
      <x:c r="W136" s="1194"/>
      <x:c r="X136" s="1194"/>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1194"/>
      <x:c r="V137" s="1194"/>
      <x:c r="W137" s="1194"/>
      <x:c r="X137" s="1194"/>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1194"/>
      <x:c r="V138" s="1194"/>
      <x:c r="W138" s="1194"/>
      <x:c r="X138" s="1194"/>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1194"/>
      <x:c r="V139" s="1194"/>
      <x:c r="W139" s="1194"/>
      <x:c r="X139" s="1194"/>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1194"/>
      <x:c r="V140" s="1194"/>
      <x:c r="W140" s="1194"/>
      <x:c r="X140" s="1194"/>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1194"/>
      <x:c r="V141" s="1194"/>
      <x:c r="W141" s="1194"/>
      <x:c r="X141" s="1194"/>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1194"/>
      <x:c r="V142" s="1194"/>
      <x:c r="W142" s="1194"/>
      <x:c r="X142" s="1194"/>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1194"/>
      <x:c r="V143" s="1194"/>
      <x:c r="W143" s="1194"/>
      <x:c r="X143" s="1194"/>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1194"/>
      <x:c r="V144" s="1194"/>
      <x:c r="W144" s="1194"/>
      <x:c r="X144" s="1194"/>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1194"/>
      <x:c r="V145" s="1194"/>
      <x:c r="W145" s="1194"/>
      <x:c r="X145" s="1194"/>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1194"/>
      <x:c r="V146" s="1194"/>
      <x:c r="W146" s="1194"/>
      <x:c r="X146" s="1194"/>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1194"/>
      <x:c r="V147" s="1194"/>
      <x:c r="W147" s="1194"/>
      <x:c r="X147" s="1194"/>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1194"/>
      <x:c r="V148" s="1194"/>
      <x:c r="W148" s="1194"/>
      <x:c r="X148" s="1194"/>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1194"/>
      <x:c r="V149" s="1194"/>
      <x:c r="W149" s="1194"/>
      <x:c r="X149" s="1194"/>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1194"/>
      <x:c r="V150" s="1194"/>
      <x:c r="W150" s="1194"/>
      <x:c r="X150" s="1194"/>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1194"/>
      <x:c r="V151" s="1194"/>
      <x:c r="W151" s="1194"/>
      <x:c r="X151" s="1194"/>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1194"/>
      <x:c r="V152" s="1194"/>
      <x:c r="W152" s="1194"/>
      <x:c r="X152" s="1194"/>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1194"/>
      <x:c r="V153" s="1194"/>
      <x:c r="W153" s="1194"/>
      <x:c r="X153" s="1194"/>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1194"/>
      <x:c r="V154" s="1194"/>
      <x:c r="W154" s="1194"/>
      <x:c r="X154" s="1194"/>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1194"/>
      <x:c r="V155" s="1194"/>
      <x:c r="W155" s="1194"/>
      <x:c r="X155" s="1194"/>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1194"/>
      <x:c r="V156" s="1194"/>
      <x:c r="W156" s="1194"/>
      <x:c r="X156" s="1194"/>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1194"/>
      <x:c r="V157" s="1194"/>
      <x:c r="W157" s="1194"/>
      <x:c r="X157" s="1194"/>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1194"/>
      <x:c r="V158" s="1194"/>
      <x:c r="W158" s="1194"/>
      <x:c r="X158" s="1194"/>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1194"/>
      <x:c r="V159" s="1194"/>
      <x:c r="W159" s="1194"/>
      <x:c r="X159" s="1194"/>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1194"/>
      <x:c r="V160" s="1194"/>
      <x:c r="W160" s="1194"/>
      <x:c r="X160" s="1194"/>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1194"/>
      <x:c r="V161" s="1194"/>
      <x:c r="W161" s="1194"/>
      <x:c r="X161" s="1194"/>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1194"/>
      <x:c r="V162" s="1194"/>
      <x:c r="W162" s="1194"/>
      <x:c r="X162" s="1194"/>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1194"/>
      <x:c r="V163" s="1194"/>
      <x:c r="W163" s="1194"/>
      <x:c r="X163" s="1194"/>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1194"/>
      <x:c r="V164" s="1194"/>
      <x:c r="W164" s="1194"/>
      <x:c r="X164" s="1194"/>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1194"/>
      <x:c r="V165" s="1194"/>
      <x:c r="W165" s="1194"/>
      <x:c r="X165" s="1194"/>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1194"/>
      <x:c r="V166" s="1194"/>
      <x:c r="W166" s="1194"/>
      <x:c r="X166" s="1194"/>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1194"/>
      <x:c r="V167" s="1194"/>
      <x:c r="W167" s="1194"/>
      <x:c r="X167" s="1194"/>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1194"/>
      <x:c r="V168" s="1194"/>
      <x:c r="W168" s="1194"/>
      <x:c r="X168" s="1194"/>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1194"/>
      <x:c r="V169" s="1194"/>
      <x:c r="W169" s="1194"/>
      <x:c r="X169" s="1194"/>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1194"/>
      <x:c r="V170" s="1194"/>
      <x:c r="W170" s="1194"/>
      <x:c r="X170" s="1194"/>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1194"/>
      <x:c r="V171" s="1194"/>
      <x:c r="W171" s="1194"/>
      <x:c r="X171" s="1194"/>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1194"/>
      <x:c r="V172" s="1194"/>
      <x:c r="W172" s="1194"/>
      <x:c r="X172" s="1194"/>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1194"/>
      <x:c r="V173" s="1194"/>
      <x:c r="W173" s="1194"/>
      <x:c r="X173" s="1194"/>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1194"/>
      <x:c r="V174" s="1194"/>
      <x:c r="W174" s="1194"/>
      <x:c r="X174" s="1194"/>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1194"/>
      <x:c r="V175" s="1194"/>
      <x:c r="W175" s="1194"/>
      <x:c r="X175" s="1194"/>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1194"/>
      <x:c r="V176" s="1194"/>
      <x:c r="W176" s="1194"/>
      <x:c r="X176" s="1194"/>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1194"/>
      <x:c r="V177" s="1194"/>
      <x:c r="W177" s="1194"/>
      <x:c r="X177" s="1194"/>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1194"/>
      <x:c r="V178" s="1194"/>
      <x:c r="W178" s="1194"/>
      <x:c r="X178" s="1194"/>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1194"/>
      <x:c r="V179" s="1194"/>
      <x:c r="W179" s="1194"/>
      <x:c r="X179" s="1194"/>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1194"/>
      <x:c r="V180" s="1194"/>
      <x:c r="W180" s="1194"/>
      <x:c r="X180" s="1194"/>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1194"/>
      <x:c r="V181" s="1194"/>
      <x:c r="W181" s="1194"/>
      <x:c r="X181" s="1194"/>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1194"/>
      <x:c r="V182" s="1194"/>
      <x:c r="W182" s="1194"/>
      <x:c r="X182" s="1194"/>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1194"/>
      <x:c r="V183" s="1194"/>
      <x:c r="W183" s="1194"/>
      <x:c r="X183" s="1194"/>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1194"/>
      <x:c r="V184" s="1194"/>
      <x:c r="W184" s="1194"/>
      <x:c r="X184" s="1194"/>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1194"/>
      <x:c r="V185" s="1194"/>
      <x:c r="W185" s="1194"/>
      <x:c r="X185" s="1194"/>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1194"/>
      <x:c r="V186" s="1194"/>
      <x:c r="W186" s="1194"/>
      <x:c r="X186" s="1194"/>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1194"/>
      <x:c r="V187" s="1194"/>
      <x:c r="W187" s="1194"/>
      <x:c r="X187" s="1194"/>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1194"/>
      <x:c r="V188" s="1194"/>
      <x:c r="W188" s="1194"/>
      <x:c r="X188" s="1194"/>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1194"/>
      <x:c r="V189" s="1194"/>
      <x:c r="W189" s="1194"/>
      <x:c r="X189" s="1194"/>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1194"/>
      <x:c r="V190" s="1194"/>
      <x:c r="W190" s="1194"/>
      <x:c r="X190" s="1194"/>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1194"/>
      <x:c r="V191" s="1194"/>
      <x:c r="W191" s="1194"/>
      <x:c r="X191" s="1194"/>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1194"/>
      <x:c r="V192" s="1194"/>
      <x:c r="W192" s="1194"/>
      <x:c r="X192" s="1194"/>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1194"/>
      <x:c r="V193" s="1194"/>
      <x:c r="W193" s="1194"/>
      <x:c r="X193" s="1194"/>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1194"/>
      <x:c r="V194" s="1194"/>
      <x:c r="W194" s="1194"/>
      <x:c r="X194" s="1194"/>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1194"/>
      <x:c r="V195" s="1194"/>
      <x:c r="W195" s="1194"/>
      <x:c r="X195" s="1194"/>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1194"/>
      <x:c r="V196" s="1194"/>
      <x:c r="W196" s="1194"/>
      <x:c r="X196" s="1194"/>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1194"/>
      <x:c r="V197" s="1194"/>
      <x:c r="W197" s="1194"/>
      <x:c r="X197" s="1194"/>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1194"/>
      <x:c r="V198" s="1194"/>
      <x:c r="W198" s="1194"/>
      <x:c r="X198" s="1194"/>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1194"/>
      <x:c r="V199" s="1194"/>
      <x:c r="W199" s="1194"/>
      <x:c r="X199" s="1194"/>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1194"/>
      <x:c r="V200" s="1194"/>
      <x:c r="W200" s="1194"/>
      <x:c r="X200" s="1194"/>
      <x:c r="Y200" s="339"/>
      <x:c r="Z200" s="339"/>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M1"/>
    <x:mergeCell ref="A2:M2"/>
    <x:mergeCell ref="A5:M5"/>
    <x:mergeCell ref="A11:F11"/>
    <x:mergeCell ref="J11:M11"/>
    <x:mergeCell ref="A13:M13"/>
    <x:mergeCell ref="A20:F20"/>
    <x:mergeCell ref="J20:M20"/>
    <x:mergeCell ref="A22:M22"/>
    <x:mergeCell ref="A28:F28"/>
    <x:mergeCell ref="J28:M28"/>
    <x:mergeCell ref="A30:M30"/>
    <x:mergeCell ref="A37:F37"/>
    <x:mergeCell ref="J37:M37"/>
    <x:mergeCell ref="A39:M39"/>
    <x:mergeCell ref="A43:F43"/>
    <x:mergeCell ref="J43:M43"/>
    <x:mergeCell ref="A45:M45"/>
    <x:mergeCell ref="A50:F50"/>
    <x:mergeCell ref="J50:M50"/>
    <x:mergeCell ref="A52:F52"/>
    <x:mergeCell ref="J52:M52"/>
    <x:mergeCell ref="A53:F53"/>
    <x:mergeCell ref="J53:M53"/>
    <x:mergeCell ref="A54:F54"/>
    <x:mergeCell ref="J54:M54"/>
    <x:mergeCell ref="A57:M57"/>
    <x:mergeCell ref="A64:M64"/>
    <x:mergeCell ref="U1:X1"/>
    <x:mergeCell ref="V2:X2"/>
    <x:mergeCell ref="V3:X3"/>
    <x:mergeCell ref="V4:X4"/>
    <x:mergeCell ref="V5:X5"/>
    <x:mergeCell ref="V6:X6"/>
    <x:mergeCell ref="V7:X7"/>
  </x:mergeCells>
  <x:pageMargins left="0.7" right="0.7" top="0.75" bottom="0.75" header="0.3" footer="0.3"/>
</x:worksheet>
</file>

<file path=xl/worksheets/sheet15.xml><?xml version="1.0" encoding="utf-8"?>
<x:worksheet xmlns:x="http://schemas.openxmlformats.org/spreadsheetml/2006/main">
  <x:sheetFormatPr defaultRowHeight="15"/>
  <x:cols>
    <x:col min="1" max="1" width="23" hidden="0" customWidth="1"/>
    <x:col min="2" max="2" width="35" hidden="0" customWidth="1"/>
    <x:col min="3" max="3" width="44" hidden="0" customWidth="1"/>
    <x:col min="4" max="4" width="12" hidden="0" customWidth="1"/>
    <x:col min="5" max="5" width="12" hidden="0" customWidth="1"/>
    <x:col min="6" max="6" width="12" hidden="0" customWidth="1"/>
    <x:col min="7" max="7" width="16" hidden="0" customWidth="1"/>
    <x:col min="8" max="8" width="12" hidden="0" customWidth="1"/>
    <x:col min="9" max="9" width="16" hidden="0" customWidth="1"/>
    <x:col min="10" max="10" width="16" hidden="0" customWidth="1"/>
    <x:col min="11" max="11" width="16" hidden="0" customWidth="1"/>
    <x:col min="12" max="12" width="17" hidden="0" customWidth="1"/>
    <x:col min="13" max="13" width="14" hidden="0" customWidth="1"/>
    <x:col min="14" max="14" width="44" hidden="0" customWidth="1"/>
    <x:col min="21" max="21" width="20" hidden="0" customWidth="1"/>
    <x:col min="22" max="22" width="24" hidden="0" customWidth="1"/>
    <x:col min="23" max="23" width="24" hidden="0" customWidth="1"/>
    <x:col min="24" max="24" width="24" hidden="0" customWidth="1"/>
  </x:cols>
  <x:sheetData>
    <x:row r="1" ht="30" customHeight="1">
      <x:c r="A1" s="685" t="str">
        <x:v>Stage 1 — Three-Year Pilot Cost Model</x:v>
      </x:c>
      <x:c r="B1" s="685" t="str">
        <x:v>Stage 1 — Three-Year Pilot Cost Model</x:v>
      </x:c>
      <x:c r="C1" s="685" t="str">
        <x:v>Stage 1 — Three-Year Pilot Cost Model</x:v>
      </x:c>
      <x:c r="D1" s="685" t="str">
        <x:v>Stage 1 — Three-Year Pilot Cost Model</x:v>
      </x:c>
      <x:c r="E1" s="685" t="str">
        <x:v>Stage 1 — Three-Year Pilot Cost Model</x:v>
      </x:c>
      <x:c r="F1" s="685" t="str">
        <x:v>Stage 1 — Three-Year Pilot Cost Model</x:v>
      </x:c>
      <x:c r="G1" s="685" t="str">
        <x:v>Stage 1 — Three-Year Pilot Cost Model</x:v>
      </x:c>
      <x:c r="H1" s="685" t="str">
        <x:v>Stage 1 — Three-Year Pilot Cost Model</x:v>
      </x:c>
      <x:c r="I1" s="685" t="str">
        <x:v>Stage 1 — Three-Year Pilot Cost Model</x:v>
      </x:c>
      <x:c r="J1" s="685" t="str">
        <x:v>Stage 1 — Three-Year Pilot Cost Model</x:v>
      </x:c>
      <x:c r="K1" s="685" t="str">
        <x:v>Stage 1 — Three-Year Pilot Cost Model</x:v>
      </x:c>
      <x:c r="L1" s="685" t="str">
        <x:v>Stage 1 — Three-Year Pilot Cost Model</x:v>
      </x:c>
      <x:c r="M1" s="685" t="str">
        <x:v>Stage 1 — Three-Year Pilot Cost Model</x:v>
      </x:c>
      <x:c r="N1" s="685" t="str">
        <x:v>Stage 1 — Three-Year Pilot Cost Model</x:v>
      </x:c>
      <x:c r="O1" s="339"/>
      <x:c r="P1" s="339"/>
      <x:c r="Q1" s="339"/>
      <x:c r="R1" s="339"/>
      <x:c r="S1" s="339"/>
      <x:c r="T1" s="339"/>
      <x:c r="U1" s="1194"/>
      <x:c r="V1" s="1194"/>
      <x:c r="W1" s="1194"/>
      <x:c r="X1" s="1194"/>
      <x:c r="Y1" s="339"/>
      <x:c r="Z1" s="339"/>
    </x:row>
    <x:row r="2" ht="28" customHeight="1">
      <x:c r="A2" s="340" t="str">
        <x:v>Central case: 4,200 treatment students plus 4,200 comparison students. Direct stipend costs are separated from delivery, technology and evaluation.</x:v>
      </x:c>
      <x:c r="B2" s="340" t="str">
        <x:v>Central case: 4,200 treatment students plus 4,200 comparison students. Direct stipend costs are separated from delivery, technology and evaluation.</x:v>
      </x:c>
      <x:c r="C2" s="340" t="str">
        <x:v>Central case: 4,200 treatment students plus 4,200 comparison students. Direct stipend costs are separated from delivery, technology and evaluation.</x:v>
      </x:c>
      <x:c r="D2" s="340" t="str">
        <x:v>Central case: 4,200 treatment students plus 4,200 comparison students. Direct stipend costs are separated from delivery, technology and evaluation.</x:v>
      </x:c>
      <x:c r="E2" s="340" t="str">
        <x:v>Central case: 4,200 treatment students plus 4,200 comparison students. Direct stipend costs are separated from delivery, technology and evaluation.</x:v>
      </x:c>
      <x:c r="F2" s="340" t="str">
        <x:v>Central case: 4,200 treatment students plus 4,200 comparison students. Direct stipend costs are separated from delivery, technology and evaluation.</x:v>
      </x:c>
      <x:c r="G2" s="340" t="str">
        <x:v>Central case: 4,200 treatment students plus 4,200 comparison students. Direct stipend costs are separated from delivery, technology and evaluation.</x:v>
      </x:c>
      <x:c r="H2" s="340" t="str">
        <x:v>Central case: 4,200 treatment students plus 4,200 comparison students. Direct stipend costs are separated from delivery, technology and evaluation.</x:v>
      </x:c>
      <x:c r="I2" s="340" t="str">
        <x:v>Central case: 4,200 treatment students plus 4,200 comparison students. Direct stipend costs are separated from delivery, technology and evaluation.</x:v>
      </x:c>
      <x:c r="J2" s="340" t="str">
        <x:v>Central case: 4,200 treatment students plus 4,200 comparison students. Direct stipend costs are separated from delivery, technology and evaluation.</x:v>
      </x:c>
      <x:c r="K2" s="340" t="str">
        <x:v>Central case: 4,200 treatment students plus 4,200 comparison students. Direct stipend costs are separated from delivery, technology and evaluation.</x:v>
      </x:c>
      <x:c r="L2" s="340" t="str">
        <x:v>Central case: 4,200 treatment students plus 4,200 comparison students. Direct stipend costs are separated from delivery, technology and evaluation.</x:v>
      </x:c>
      <x:c r="M2" s="340" t="str">
        <x:v>Central case: 4,200 treatment students plus 4,200 comparison students. Direct stipend costs are separated from delivery, technology and evaluation.</x:v>
      </x:c>
      <x:c r="N2" s="340" t="str">
        <x:v>Central case: 4,200 treatment students plus 4,200 comparison students. Direct stipend costs are separated from delivery, technology and evaluation.</x:v>
      </x:c>
      <x:c r="O2" s="339"/>
      <x:c r="P2" s="339"/>
      <x:c r="Q2" s="339"/>
      <x:c r="R2" s="339"/>
      <x:c r="S2" s="339"/>
      <x:c r="T2" s="339"/>
      <x:c r="U2" s="1195"/>
      <x:c r="V2" s="1195"/>
      <x:c r="W2" s="1195"/>
      <x:c r="X2" s="1195"/>
      <x:c r="Y2" s="339"/>
      <x:c r="Z2" s="339"/>
    </x:row>
    <x:row r="3">
      <x:c r="A3" s="28"/>
      <x:c r="B3" s="28"/>
      <x:c r="C3" s="28"/>
      <x:c r="D3" s="28"/>
      <x:c r="E3" s="28"/>
      <x:c r="F3" s="28"/>
      <x:c r="G3" s="28"/>
      <x:c r="H3" s="28"/>
      <x:c r="I3" s="28"/>
      <x:c r="J3" s="28"/>
      <x:c r="K3" s="28"/>
      <x:c r="L3" s="28"/>
      <x:c r="M3" s="28"/>
      <x:c r="N3" s="28"/>
      <x:c r="O3" s="339"/>
      <x:c r="P3" s="339"/>
      <x:c r="Q3" s="339"/>
      <x:c r="R3" s="339"/>
      <x:c r="S3" s="339"/>
      <x:c r="T3" s="339"/>
      <x:c r="U3" s="1195"/>
      <x:c r="V3" s="1195"/>
      <x:c r="W3" s="1195"/>
      <x:c r="X3" s="1195"/>
      <x:c r="Y3" s="339"/>
      <x:c r="Z3" s="339"/>
    </x:row>
    <x:row r="4" ht="30" customHeight="1">
      <x:c r="A4" s="343" t="str">
        <x:v>Scenario</x:v>
      </x:c>
      <x:c r="B4" s="343" t="str">
        <x:v>Pilot Year 1</x:v>
      </x:c>
      <x:c r="C4" s="343" t="str">
        <x:v>Pilot Year 2</x:v>
      </x:c>
      <x:c r="D4" s="343" t="str">
        <x:v>Pilot Year 3</x:v>
      </x:c>
      <x:c r="E4" s="343" t="str">
        <x:v>Three-year total</x:v>
      </x:c>
      <x:c r="F4" s="343" t="str">
        <x:v>Cost per treatment student-year</x:v>
      </x:c>
      <x:c r="G4" s="28"/>
      <x:c r="H4" s="406" t="str">
        <x:v>Key interpretation: the He Ara Angitū Learning Capital Account is funded from the same participation payment. It is not added again. Comparison students receive evaluation support but not participation payments.</x:v>
      </x:c>
      <x:c r="I4" s="406"/>
      <x:c r="J4" s="406"/>
      <x:c r="K4" s="406"/>
      <x:c r="L4" s="406"/>
      <x:c r="M4" s="406"/>
      <x:c r="N4" s="406"/>
      <x:c r="O4" s="339"/>
      <x:c r="P4" s="339"/>
      <x:c r="Q4" s="339"/>
      <x:c r="R4" s="339"/>
      <x:c r="S4" s="339"/>
      <x:c r="T4" s="339"/>
      <x:c r="U4" s="1195"/>
      <x:c r="V4" s="1195"/>
      <x:c r="W4" s="1195"/>
      <x:c r="X4" s="1195"/>
      <x:c r="Y4" s="339"/>
      <x:c r="Z4" s="339"/>
    </x:row>
    <x:row r="5">
      <x:c r="A5" s="407" t="str">
        <x:v>Low</x:v>
      </x:c>
      <x:c r="B5" s="345" t="n">
        <x:f>Assumptions!$D$17*Assumptions!$D$21*Assumptions!$D$22*Assumptions!$D$23+I54*Assumptions!$D$11+(I54*Assumptions!$D$11*Assumptions!$D$12)</x:f>
        <x:v>23776617.1119</x:v>
      </x:c>
      <x:c r="C5" s="345" t="n">
        <x:f>Assumptions!$D$17*Assumptions!$D$21*Assumptions!$D$22*Assumptions!$D$24+J54*Assumptions!$D$11+(J54*Assumptions!$D$11*Assumptions!$D$12)</x:f>
        <x:v>23863622.21815</x:v>
      </x:c>
      <x:c r="D5" s="345" t="n">
        <x:f>Assumptions!$D$17*Assumptions!$D$21*Assumptions!$D$22*Assumptions!$D$25+K54*Assumptions!$D$11+(K54*Assumptions!$D$11*Assumptions!$D$12)</x:f>
        <x:v>25585958.177525</x:v>
      </x:c>
      <x:c r="E5" s="345" t="n">
        <x:f>SUM(B5:D5)</x:f>
        <x:v>73226197.507575</x:v>
      </x:c>
      <x:c r="F5" s="345" t="n">
        <x:f>E5/(Assumptions!$D$17*3)</x:f>
        <x:v>5811.602976791667</x:v>
      </x:c>
      <x:c r="G5" s="28"/>
      <x:c r="H5" s="28"/>
      <x:c r="I5" s="28"/>
      <x:c r="J5" s="28"/>
      <x:c r="K5" s="28"/>
      <x:c r="L5" s="28"/>
      <x:c r="M5" s="28"/>
      <x:c r="N5" s="28"/>
      <x:c r="O5" s="339"/>
      <x:c r="P5" s="339"/>
      <x:c r="Q5" s="339"/>
      <x:c r="R5" s="339"/>
      <x:c r="S5" s="339"/>
      <x:c r="T5" s="339"/>
      <x:c r="U5" s="1195"/>
      <x:c r="V5" s="1195"/>
      <x:c r="W5" s="1195"/>
      <x:c r="X5" s="1195"/>
      <x:c r="Y5" s="339"/>
      <x:c r="Z5" s="339"/>
    </x:row>
    <x:row r="6">
      <x:c r="A6" s="408" t="str">
        <x:v>Central</x:v>
      </x:c>
      <x:c r="B6" s="409" t="n">
        <x:f>I56</x:f>
        <x:v>31666424.332500003</x:v>
      </x:c>
      <x:c r="C6" s="409" t="n">
        <x:f>J56</x:f>
        <x:v>31890708.551250003</x:v>
      </x:c>
      <x:c r="D6" s="409" t="n">
        <x:f>K56</x:f>
        <x:v>34022837.379375</x:v>
      </x:c>
      <x:c r="E6" s="409" t="n">
        <x:f>L56</x:f>
        <x:v>97579970.263125</x:v>
      </x:c>
      <x:c r="F6" s="409" t="n">
        <x:f>E6/(Assumptions!$E$17*3)</x:f>
        <x:v>7744.442084375</x:v>
      </x:c>
      <x:c r="G6" s="28"/>
      <x:c r="H6" s="28"/>
      <x:c r="I6" s="28"/>
      <x:c r="J6" s="28"/>
      <x:c r="K6" s="28"/>
      <x:c r="L6" s="28"/>
      <x:c r="M6" s="28"/>
      <x:c r="N6" s="28"/>
      <x:c r="O6" s="339"/>
      <x:c r="P6" s="339"/>
      <x:c r="Q6" s="339"/>
      <x:c r="R6" s="339"/>
      <x:c r="S6" s="339"/>
      <x:c r="T6" s="339"/>
      <x:c r="U6" s="1195"/>
      <x:c r="V6" s="1195"/>
      <x:c r="W6" s="1195"/>
      <x:c r="X6" s="1195"/>
      <x:c r="Y6" s="339"/>
      <x:c r="Z6" s="339"/>
    </x:row>
    <x:row r="7">
      <x:c r="A7" s="407" t="str">
        <x:v>High</x:v>
      </x:c>
      <x:c r="B7" s="345" t="n">
        <x:f>Assumptions!$F$17*Assumptions!$F$21*Assumptions!$F$22*Assumptions!$F$23+I54*Assumptions!$F$11+(I54*Assumptions!$F$11*Assumptions!$F$12)</x:f>
        <x:v>42263899.11</x:v>
      </x:c>
      <x:c r="C7" s="345" t="n">
        <x:f>Assumptions!$F$17*Assumptions!$F$21*Assumptions!$F$22*Assumptions!$F$24+J54*Assumptions!$F$11+(J54*Assumptions!$F$11*Assumptions!$F$12)</x:f>
        <x:v>41848944.735</x:v>
      </x:c>
      <x:c r="D7" s="345" t="n">
        <x:f>Assumptions!$F$17*Assumptions!$F$21*Assumptions!$F$22*Assumptions!$F$25+K54*Assumptions!$F$11+(K54*Assumptions!$F$11*Assumptions!$F$12)</x:f>
        <x:v>44334783.1725</x:v>
      </x:c>
      <x:c r="E7" s="345" t="n">
        <x:f>SUM(B7:D7)</x:f>
        <x:v>128447627.0175</x:v>
      </x:c>
      <x:c r="F7" s="345" t="n">
        <x:f>E7/(Assumptions!$F$17*3)</x:f>
        <x:v>10194.2561125</x:v>
      </x:c>
      <x:c r="G7" s="28"/>
      <x:c r="H7" s="28"/>
      <x:c r="I7" s="28"/>
      <x:c r="J7" s="28"/>
      <x:c r="K7" s="28"/>
      <x:c r="L7" s="28"/>
      <x:c r="M7" s="28"/>
      <x:c r="N7" s="28"/>
      <x:c r="O7" s="339"/>
      <x:c r="P7" s="339"/>
      <x:c r="Q7" s="339"/>
      <x:c r="R7" s="339"/>
      <x:c r="S7" s="339"/>
      <x:c r="T7" s="339"/>
      <x:c r="U7" s="1195"/>
      <x:c r="V7" s="1195"/>
      <x:c r="W7" s="1195"/>
      <x:c r="X7" s="1195"/>
      <x:c r="Y7" s="339"/>
      <x:c r="Z7" s="339"/>
    </x:row>
    <x:row r="8" ht="22" customHeight="1">
      <x:c r="A8" s="633" t="str">
        <x:v>Central pilot payment split and later education-capital effects</x:v>
      </x:c>
      <x:c r="B8" s="633" t="str">
        <x:v>Central pilot payment split and later education-capital effects</x:v>
      </x:c>
      <x:c r="C8" s="633" t="str">
        <x:v>Central pilot payment split and later education-capital effects</x:v>
      </x:c>
      <x:c r="D8" s="633" t="str">
        <x:v>Central pilot payment split and later education-capital effects</x:v>
      </x:c>
      <x:c r="E8" s="633" t="str">
        <x:v>Central pilot payment split and later education-capital effects</x:v>
      </x:c>
      <x:c r="F8" s="633" t="str">
        <x:v>Central pilot payment split and later education-capital effects</x:v>
      </x:c>
      <x:c r="G8" s="633" t="str">
        <x:v>Central pilot payment split and later education-capital effects</x:v>
      </x:c>
      <x:c r="H8" s="633" t="str">
        <x:v>Central pilot payment split and later education-capital effects</x:v>
      </x:c>
      <x:c r="I8" s="633" t="str">
        <x:v>Central pilot payment split and later education-capital effects</x:v>
      </x:c>
      <x:c r="J8" s="633" t="str">
        <x:v>Central pilot payment split and later education-capital effects</x:v>
      </x:c>
      <x:c r="K8" s="633" t="str">
        <x:v>Central pilot payment split and later education-capital effects</x:v>
      </x:c>
      <x:c r="L8" s="633" t="str">
        <x:v>Central pilot payment split and later education-capital effects</x:v>
      </x:c>
      <x:c r="M8" s="633" t="str">
        <x:v>Central pilot payment split and later education-capital effects</x:v>
      </x:c>
      <x:c r="N8" s="633" t="str">
        <x:v>Central pilot payment split and later education-capital effects</x:v>
      </x:c>
      <x:c r="O8" s="339"/>
      <x:c r="P8" s="339"/>
      <x:c r="Q8" s="339"/>
      <x:c r="R8" s="339"/>
      <x:c r="S8" s="339"/>
      <x:c r="T8" s="339"/>
      <x:c r="U8" s="1194"/>
      <x:c r="V8" s="1194"/>
      <x:c r="W8" s="1194"/>
      <x:c r="X8" s="1194"/>
      <x:c r="Y8" s="339"/>
      <x:c r="Z8" s="339"/>
    </x:row>
    <x:row r="9" ht="28" customHeight="1">
      <x:c r="A9" s="526" t="str">
        <x:v>Metric</x:v>
      </x:c>
      <x:c r="B9" s="526" t="str">
        <x:v>Immediate-access payments — 3 years</x:v>
      </x:c>
      <x:c r="C9" s="526" t="str">
        <x:v>Learning Capital deposits — 3 years</x:v>
      </x:c>
      <x:c r="D9" s="526" t="str">
        <x:v>Projected account assets after 3 years</x:v>
      </x:c>
      <x:c r="E9" s="526" t="str">
        <x:v>Projected student-loan principal displaced</x:v>
      </x:c>
      <x:c r="F9" s="526" t="str">
        <x:v>Official fair-value cost avoided</x:v>
      </x:c>
      <x:c r="G9" s="526" t="str">
        <x:v>Timing warning</x:v>
      </x:c>
      <x:c r="H9" s="28" t="str"/>
      <x:c r="I9" s="28" t="str"/>
      <x:c r="J9" s="28" t="str"/>
      <x:c r="K9" s="28" t="str"/>
      <x:c r="L9" s="28" t="str"/>
      <x:c r="M9" s="28" t="str"/>
      <x:c r="N9" s="28" t="str"/>
      <x:c r="O9" s="339"/>
      <x:c r="P9" s="339"/>
      <x:c r="Q9" s="339"/>
      <x:c r="R9" s="339"/>
      <x:c r="S9" s="339"/>
      <x:c r="T9" s="339"/>
      <x:c r="U9" s="1194"/>
      <x:c r="V9" s="1194"/>
      <x:c r="W9" s="1194"/>
      <x:c r="X9" s="1194"/>
      <x:c r="Y9" s="339"/>
      <x:c r="Z9" s="339"/>
    </x:row>
    <x:row r="10">
      <x:c r="A10" s="28" t="str">
        <x:v>Central pilot</x:v>
      </x:c>
      <x:c r="B10" s="529" t="n">
        <x:f>L14</x:f>
        <x:v>23940000</x:v>
      </x:c>
      <x:c r="C10" s="529" t="n">
        <x:f>L15</x:f>
        <x:v>23940000</x:v>
      </x:c>
      <x:c r="D10" s="345" t="n">
        <x:f>'Learning Capital &amp; ROI'!$H$44*Assumptions!$E$17</x:f>
        <x:v>26181582.135709427</x:v>
      </x:c>
      <x:c r="E10" s="345" t="n">
        <x:f>((MIN('Learning Capital &amp; ROI'!$H$44,Assumptions!$E$64)*(Assumptions!$E$70+Assumptions!$E$71)*Assumptions!$E$72)*Assumptions!$E$73*Assumptions!$E$74)*Assumptions!$E$17</x:f>
        <x:v>6735997.451875321</x:v>
      </x:c>
      <x:c r="F10" s="345" t="n">
        <x:f>(((MIN('Learning Capital &amp; ROI'!$H$44,Assumptions!$E$64)*(Assumptions!$E$70+Assumptions!$E$71)*Assumptions!$E$72)*Assumptions!$E$73*Assumptions!$E$74)*Assumptions!$E$80)*Assumptions!$E$17</x:f>
        <x:v>2306405.52752211</x:v>
      </x:c>
      <x:c r="G10" s="28" t="str">
        <x:v>Loan offsets arise after approved post-school withdrawals and do not reduce the three-year pilot appropriation.</x:v>
      </x:c>
      <x:c r="H10" s="28" t="str"/>
      <x:c r="I10" s="28" t="str"/>
      <x:c r="J10" s="28" t="str"/>
      <x:c r="K10" s="28" t="str"/>
      <x:c r="L10" s="28" t="str"/>
      <x:c r="M10" s="28" t="str"/>
      <x:c r="N10" s="28" t="str"/>
      <x:c r="O10" s="339"/>
      <x:c r="P10" s="339"/>
      <x:c r="Q10" s="339"/>
      <x:c r="R10" s="339"/>
      <x:c r="S10" s="339"/>
      <x:c r="T10" s="339"/>
      <x:c r="U10" s="1194"/>
      <x:c r="V10" s="1194"/>
      <x:c r="W10" s="1194"/>
      <x:c r="X10" s="1194"/>
      <x:c r="Y10" s="339"/>
      <x:c r="Z10" s="339"/>
    </x:row>
    <x:row r="11">
      <x:c r="A11" s="28"/>
      <x:c r="B11" s="28"/>
      <x:c r="C11" s="28"/>
      <x:c r="D11" s="28"/>
      <x:c r="E11" s="28"/>
      <x:c r="F11" s="28"/>
      <x:c r="G11" s="28"/>
      <x:c r="H11" s="28"/>
      <x:c r="I11" s="28"/>
      <x:c r="J11" s="28"/>
      <x:c r="K11" s="28"/>
      <x:c r="L11" s="28"/>
      <x:c r="M11" s="28"/>
      <x:c r="N11" s="28"/>
      <x:c r="O11" s="339"/>
      <x:c r="P11" s="339"/>
      <x:c r="Q11" s="339"/>
      <x:c r="R11" s="339"/>
      <x:c r="S11" s="339"/>
      <x:c r="T11" s="339"/>
      <x:c r="U11" s="1194"/>
      <x:c r="V11" s="1194"/>
      <x:c r="W11" s="1194"/>
      <x:c r="X11" s="1194"/>
      <x:c r="Y11" s="339"/>
      <x:c r="Z11" s="339"/>
    </x:row>
    <x:row r="12" ht="28" customHeight="1">
      <x:c r="A12" s="343" t="str">
        <x:v>Cost group</x:v>
      </x:c>
      <x:c r="B12" s="343" t="str">
        <x:v>Cost item</x:v>
      </x:c>
      <x:c r="C12" s="343" t="str">
        <x:v>Transparent cost basis</x:v>
      </x:c>
      <x:c r="D12" s="343" t="str">
        <x:v>Year 1 qty</x:v>
      </x:c>
      <x:c r="E12" s="343" t="str">
        <x:v>Year 2 qty</x:v>
      </x:c>
      <x:c r="F12" s="343" t="str">
        <x:v>Year 3 qty</x:v>
      </x:c>
      <x:c r="G12" s="343" t="str">
        <x:v>Year 1 unit cost</x:v>
      </x:c>
      <x:c r="H12" s="343" t="str">
        <x:v>Escalation</x:v>
      </x:c>
      <x:c r="I12" s="343" t="str">
        <x:v>Pilot Year 1</x:v>
      </x:c>
      <x:c r="J12" s="343" t="str">
        <x:v>Pilot Year 2</x:v>
      </x:c>
      <x:c r="K12" s="343" t="str">
        <x:v>Pilot Year 3</x:v>
      </x:c>
      <x:c r="L12" s="343" t="str">
        <x:v>Three-year total</x:v>
      </x:c>
      <x:c r="M12" s="343" t="str">
        <x:v>Source ID</x:v>
      </x:c>
      <x:c r="N12" s="343" t="str">
        <x:v>Evidence / validation</x:v>
      </x:c>
      <x:c r="O12" s="339"/>
      <x:c r="P12" s="339"/>
      <x:c r="Q12" s="339"/>
      <x:c r="R12" s="339"/>
      <x:c r="S12" s="339"/>
      <x:c r="T12" s="339"/>
      <x:c r="U12" s="1194"/>
      <x:c r="V12" s="1194"/>
      <x:c r="W12" s="1194"/>
      <x:c r="X12" s="1194"/>
      <x:c r="Y12" s="339"/>
      <x:c r="Z12" s="339"/>
    </x:row>
    <x:row r="13" ht="21" customHeight="1">
      <x:c r="A13" s="368" t="str">
        <x:v>Participant payments</x:v>
      </x:c>
      <x:c r="B13" s="368" t="str">
        <x:v>Participant payments</x:v>
      </x:c>
      <x:c r="C13" s="368" t="str">
        <x:v>Participant payments</x:v>
      </x:c>
      <x:c r="D13" s="410" t="str">
        <x:v>Participant payments</x:v>
      </x:c>
      <x:c r="E13" s="410" t="str">
        <x:v>Participant payments</x:v>
      </x:c>
      <x:c r="F13" s="410" t="str">
        <x:v>Participant payments</x:v>
      </x:c>
      <x:c r="G13" s="411" t="str">
        <x:v>Participant payments</x:v>
      </x:c>
      <x:c r="H13" s="412" t="str">
        <x:v>Participant payments</x:v>
      </x:c>
      <x:c r="I13" s="413" t="str">
        <x:v>Participant payments</x:v>
      </x:c>
      <x:c r="J13" s="413" t="str">
        <x:v>Participant payments</x:v>
      </x:c>
      <x:c r="K13" s="413" t="str">
        <x:v>Participant payments</x:v>
      </x:c>
      <x:c r="L13" s="413" t="str">
        <x:v>Participant payments</x:v>
      </x:c>
      <x:c r="M13" s="368" t="str">
        <x:v>Participant payments</x:v>
      </x:c>
      <x:c r="N13" s="368" t="str">
        <x:v>Participant payments</x:v>
      </x:c>
      <x:c r="O13" s="339"/>
      <x:c r="P13" s="339"/>
      <x:c r="Q13" s="339"/>
      <x:c r="R13" s="339"/>
      <x:c r="S13" s="339"/>
      <x:c r="T13" s="339"/>
      <x:c r="U13" s="1194"/>
      <x:c r="V13" s="1194"/>
      <x:c r="W13" s="1194"/>
      <x:c r="X13" s="1194"/>
      <x:c r="Y13" s="339"/>
      <x:c r="Z13" s="339"/>
    </x:row>
    <x:row r="14">
      <x:c r="A14" s="28" t="str">
        <x:v>Participant payments</x:v>
      </x:c>
      <x:c r="B14" s="28" t="str">
        <x:v>Immediate-access participation payments</x:v>
      </x:c>
      <x:c r="C14" s="28" t="str">
        <x:v>Treatment students × weeks × maximum × earned proportion × immediate share</x:v>
      </x:c>
      <x:c r="D14" s="32"/>
      <x:c r="E14" s="32"/>
      <x:c r="F14" s="32"/>
      <x:c r="G14" s="414" t="n">
        <x:v>0</x:v>
      </x:c>
      <x:c r="H14" s="415" t="n">
        <x:v>0</x:v>
      </x:c>
      <x:c r="I14" s="520" t="n">
        <x:f>Assumptions!$E$17*Assumptions!$E$21*Assumptions!$E$22*Assumptions!$E$23*(1-Assumptions!$E$55)</x:f>
        <x:v>6930000.000000001</x:v>
      </x:c>
      <x:c r="J14" s="520" t="n">
        <x:f>Assumptions!$E$17*Assumptions!$E$21*Assumptions!$E$22*Assumptions!$E$24*(1-Assumptions!$E$55)</x:f>
        <x:v>8190000</x:v>
      </x:c>
      <x:c r="K14" s="520" t="n">
        <x:f>Assumptions!$E$17*Assumptions!$E$21*Assumptions!$E$22*Assumptions!$E$25*(1-Assumptions!$E$55)</x:f>
        <x:v>8820000</x:v>
      </x:c>
      <x:c r="L14" s="520" t="n">
        <x:f>SUM(I14:K14)</x:f>
        <x:v>23940000</x:v>
      </x:c>
      <x:c r="M14" s="35" t="str">
        <x:v>S01;A06</x:v>
      </x:c>
      <x:c r="N14" s="35" t="str">
        <x:v>Both payment portions remain programme expenditure.</x:v>
      </x:c>
      <x:c r="O14" s="339"/>
      <x:c r="P14" s="339"/>
      <x:c r="Q14" s="339"/>
      <x:c r="R14" s="339"/>
      <x:c r="S14" s="339"/>
      <x:c r="T14" s="339"/>
      <x:c r="U14" s="1194"/>
      <x:c r="V14" s="1194"/>
      <x:c r="W14" s="1194"/>
      <x:c r="X14" s="1194"/>
      <x:c r="Y14" s="339"/>
      <x:c r="Z14" s="339"/>
    </x:row>
    <x:row r="15">
      <x:c r="A15" s="839" t="str">
        <x:v>Participant payments</x:v>
      </x:c>
      <x:c r="B15" s="839" t="str">
        <x:v>He Ara Angitū Learning Capital Account deposits</x:v>
      </x:c>
      <x:c r="C15" s="839" t="str">
        <x:v>Treatment students × weeks × maximum × earned proportion × protected-account share</x:v>
      </x:c>
      <x:c r="D15" s="840"/>
      <x:c r="E15" s="840"/>
      <x:c r="F15" s="840"/>
      <x:c r="G15" s="841" t="n">
        <x:v>0</x:v>
      </x:c>
      <x:c r="H15" s="842" t="n">
        <x:v>0</x:v>
      </x:c>
      <x:c r="I15" s="843" t="n">
        <x:f>Assumptions!$E$17*Assumptions!$E$21*Assumptions!$E$22*Assumptions!$E$23*Assumptions!$E$55</x:f>
        <x:v>6930000.000000001</x:v>
      </x:c>
      <x:c r="J15" s="843" t="n">
        <x:f>Assumptions!$E$17*Assumptions!$E$21*Assumptions!$E$22*Assumptions!$E$24*Assumptions!$E$55</x:f>
        <x:v>8190000</x:v>
      </x:c>
      <x:c r="K15" s="843" t="n">
        <x:f>Assumptions!$E$17*Assumptions!$E$21*Assumptions!$E$22*Assumptions!$E$25*Assumptions!$E$55</x:f>
        <x:v>8820000</x:v>
      </x:c>
      <x:c r="L15" s="843" t="n">
        <x:f>SUM(I15:K15)</x:f>
        <x:v>23940000</x:v>
      </x:c>
      <x:c r="M15" s="839" t="str">
        <x:v>S01;A06;A15</x:v>
      </x:c>
      <x:c r="N15" s="839" t="str">
        <x:v>Protected education capital; investment returns are uncertain.</x:v>
      </x:c>
      <x:c r="O15" s="339"/>
      <x:c r="P15" s="339"/>
      <x:c r="Q15" s="339"/>
      <x:c r="R15" s="339"/>
      <x:c r="S15" s="339"/>
      <x:c r="T15" s="339"/>
      <x:c r="U15" s="1194"/>
      <x:c r="V15" s="1194"/>
      <x:c r="W15" s="1194"/>
      <x:c r="X15" s="1194"/>
      <x:c r="Y15" s="339"/>
      <x:c r="Z15" s="339"/>
    </x:row>
    <x:row r="16">
      <x:c r="A16" s="848" t="str">
        <x:v>Participant payments subtotal</x:v>
      </x:c>
      <x:c r="B16" s="848"/>
      <x:c r="C16" s="848"/>
      <x:c r="D16" s="848"/>
      <x:c r="E16" s="848"/>
      <x:c r="F16" s="848"/>
      <x:c r="G16" s="849"/>
      <x:c r="H16" s="850"/>
      <x:c r="I16" s="851" t="n">
        <x:f>SUM(I14:I15)</x:f>
        <x:v>13860000.000000002</x:v>
      </x:c>
      <x:c r="J16" s="851" t="n">
        <x:f>SUM(J14:J15)</x:f>
        <x:v>16380000</x:v>
      </x:c>
      <x:c r="K16" s="851" t="n">
        <x:f>SUM(K14:K15)</x:f>
        <x:v>17640000</x:v>
      </x:c>
      <x:c r="L16" s="851" t="n">
        <x:f>SUM(I16:K16)</x:f>
        <x:v>47880000</x:v>
      </x:c>
      <x:c r="M16" s="848"/>
      <x:c r="N16" s="848"/>
      <x:c r="O16" s="339"/>
      <x:c r="P16" s="339"/>
      <x:c r="Q16" s="339"/>
      <x:c r="R16" s="339"/>
      <x:c r="S16" s="339"/>
      <x:c r="T16" s="339"/>
      <x:c r="U16" s="1194"/>
      <x:c r="V16" s="1194"/>
      <x:c r="W16" s="1194"/>
      <x:c r="X16" s="1194"/>
      <x:c r="Y16" s="339"/>
      <x:c r="Z16" s="339"/>
    </x:row>
    <x:row r="17" ht="21" customHeight="1">
      <x:c r="A17" s="368" t="str">
        <x:v>Delivery staffing</x:v>
      </x:c>
      <x:c r="B17" s="368" t="str">
        <x:v>Delivery staffing</x:v>
      </x:c>
      <x:c r="C17" s="368" t="str">
        <x:v>Delivery staffing</x:v>
      </x:c>
      <x:c r="D17" s="410" t="str">
        <x:v>Delivery staffing</x:v>
      </x:c>
      <x:c r="E17" s="410" t="str">
        <x:v>Delivery staffing</x:v>
      </x:c>
      <x:c r="F17" s="410" t="str">
        <x:v>Delivery staffing</x:v>
      </x:c>
      <x:c r="G17" s="411" t="str">
        <x:v>Delivery staffing</x:v>
      </x:c>
      <x:c r="H17" s="412" t="str">
        <x:v>Delivery staffing</x:v>
      </x:c>
      <x:c r="I17" s="413" t="str">
        <x:v>Delivery staffing</x:v>
      </x:c>
      <x:c r="J17" s="413" t="str">
        <x:v>Delivery staffing</x:v>
      </x:c>
      <x:c r="K17" s="413" t="str">
        <x:v>Delivery staffing</x:v>
      </x:c>
      <x:c r="L17" s="413" t="str">
        <x:v>Delivery staffing</x:v>
      </x:c>
      <x:c r="M17" s="368" t="str">
        <x:v>Delivery staffing</x:v>
      </x:c>
      <x:c r="N17" s="368" t="str">
        <x:v>Delivery staffing</x:v>
      </x:c>
      <x:c r="O17" s="339"/>
      <x:c r="P17" s="339"/>
      <x:c r="Q17" s="339"/>
      <x:c r="R17" s="339"/>
      <x:c r="S17" s="339"/>
      <x:c r="T17" s="339"/>
      <x:c r="U17" s="1194"/>
      <x:c r="V17" s="1194"/>
      <x:c r="W17" s="1194"/>
      <x:c r="X17" s="1194"/>
      <x:c r="Y17" s="339"/>
      <x:c r="Z17" s="339"/>
    </x:row>
    <x:row r="18">
      <x:c r="A18" s="28" t="str">
        <x:v>Delivery staffing</x:v>
      </x:c>
      <x:c r="B18" s="28" t="str">
        <x:v>School Programme Coordinators</x:v>
      </x:c>
      <x:c r="C18" s="28" t="str">
        <x:v>Greater of treatment schools or treatment students ÷ 500; central budget uses 9 FTE</x:v>
      </x:c>
      <x:c r="D18" s="32" t="n">
        <x:v>9</x:v>
      </x:c>
      <x:c r="E18" s="32" t="n">
        <x:v>9</x:v>
      </x:c>
      <x:c r="F18" s="32" t="n">
        <x:v>9</x:v>
      </x:c>
      <x:c r="G18" s="421" t="n">
        <x:v>115000</x:v>
      </x:c>
      <x:c r="H18" s="422" t="n">
        <x:v>0.025</x:v>
      </x:c>
      <x:c r="I18" s="423" t="n">
        <x:f>D18*G18</x:f>
        <x:v>1035000</x:v>
      </x:c>
      <x:c r="J18" s="423" t="n">
        <x:f>E18*G18*(1+H18)</x:f>
        <x:v>1060875</x:v>
      </x:c>
      <x:c r="K18" s="423" t="n">
        <x:f>F18*G18*(1+H18)^2</x:f>
        <x:v>1087396.875</x:v>
      </x:c>
      <x:c r="L18" s="423" t="n">
        <x:f>SUM(I18:K18)</x:f>
        <x:v>3183271.875</x:v>
      </x:c>
      <x:c r="M18" s="28" t="str">
        <x:v>S01;S09;S11</x:v>
      </x:c>
      <x:c r="N18" s="28" t="str">
        <x:v>Workload ratio must be tested.</x:v>
      </x:c>
      <x:c r="O18" s="339"/>
      <x:c r="P18" s="339"/>
      <x:c r="Q18" s="339"/>
      <x:c r="R18" s="339"/>
      <x:c r="S18" s="339"/>
      <x:c r="T18" s="339"/>
      <x:c r="U18" s="1194"/>
      <x:c r="V18" s="1194"/>
      <x:c r="W18" s="1194"/>
      <x:c r="X18" s="1194"/>
      <x:c r="Y18" s="339"/>
      <x:c r="Z18" s="339"/>
    </x:row>
    <x:row r="19">
      <x:c r="A19" s="28" t="str">
        <x:v>Delivery staffing</x:v>
      </x:c>
      <x:c r="B19" s="28" t="str">
        <x:v>Regional Delivery Managers</x:v>
      </x:c>
      <x:c r="C19" s="28" t="str">
        <x:v>2 loaded FTE</x:v>
      </x:c>
      <x:c r="D19" s="32" t="n">
        <x:v>2</x:v>
      </x:c>
      <x:c r="E19" s="32" t="n">
        <x:v>2</x:v>
      </x:c>
      <x:c r="F19" s="32" t="n">
        <x:v>2</x:v>
      </x:c>
      <x:c r="G19" s="421" t="n">
        <x:v>175000</x:v>
      </x:c>
      <x:c r="H19" s="422" t="n">
        <x:v>0.025</x:v>
      </x:c>
      <x:c r="I19" s="423" t="n">
        <x:f>D19*G19</x:f>
        <x:v>350000</x:v>
      </x:c>
      <x:c r="J19" s="423" t="n">
        <x:f>E19*G19*(1+H19)</x:f>
        <x:v>358749.99999999994</x:v>
      </x:c>
      <x:c r="K19" s="423" t="n">
        <x:f>F19*G19*(1+H19)^2</x:f>
        <x:v>367718.75</x:v>
      </x:c>
      <x:c r="L19" s="423" t="n">
        <x:f>SUM(I19:K19)</x:f>
        <x:v>1076468.75</x:v>
      </x:c>
      <x:c r="M19" s="28" t="str">
        <x:v>S09;S10</x:v>
      </x:c>
      <x:c r="N19" s="28" t="str">
        <x:v>Confirm spans of control.</x:v>
      </x:c>
      <x:c r="O19" s="339"/>
      <x:c r="P19" s="339"/>
      <x:c r="Q19" s="339"/>
      <x:c r="R19" s="339"/>
      <x:c r="S19" s="339"/>
      <x:c r="T19" s="339"/>
      <x:c r="U19" s="1194"/>
      <x:c r="V19" s="1194"/>
      <x:c r="W19" s="1194"/>
      <x:c r="X19" s="1194"/>
      <x:c r="Y19" s="339"/>
      <x:c r="Z19" s="339"/>
    </x:row>
    <x:row r="20">
      <x:c r="A20" s="28" t="str">
        <x:v>Delivery staffing</x:v>
      </x:c>
      <x:c r="B20" s="28" t="str">
        <x:v>Safeguarding and Mentor Supervisors</x:v>
      </x:c>
      <x:c r="C20" s="28" t="str">
        <x:v>4 loaded FTE</x:v>
      </x:c>
      <x:c r="D20" s="32" t="n">
        <x:v>4</x:v>
      </x:c>
      <x:c r="E20" s="32" t="n">
        <x:v>4</x:v>
      </x:c>
      <x:c r="F20" s="32" t="n">
        <x:v>4</x:v>
      </x:c>
      <x:c r="G20" s="421" t="n">
        <x:v>130000</x:v>
      </x:c>
      <x:c r="H20" s="422" t="n">
        <x:v>0.025</x:v>
      </x:c>
      <x:c r="I20" s="423" t="n">
        <x:f>D20*G20</x:f>
        <x:v>520000</x:v>
      </x:c>
      <x:c r="J20" s="423" t="n">
        <x:f>E20*G20*(1+H20)</x:f>
        <x:v>533000</x:v>
      </x:c>
      <x:c r="K20" s="423" t="n">
        <x:f>F20*G20*(1+H20)^2</x:f>
        <x:v>546325</x:v>
      </x:c>
      <x:c r="L20" s="423" t="n">
        <x:f>SUM(I20:K20)</x:f>
        <x:v>1599325</x:v>
      </x:c>
      <x:c r="M20" s="28" t="str">
        <x:v>S01;S09</x:v>
      </x:c>
      <x:c r="N20" s="28" t="str">
        <x:v>Confirm mentor numbers, caseload and after-hours duty.</x:v>
      </x:c>
      <x:c r="O20" s="339"/>
      <x:c r="P20" s="339"/>
      <x:c r="Q20" s="339"/>
      <x:c r="R20" s="339"/>
      <x:c r="S20" s="339"/>
      <x:c r="T20" s="339"/>
      <x:c r="U20" s="1194"/>
      <x:c r="V20" s="1194"/>
      <x:c r="W20" s="1194"/>
      <x:c r="X20" s="1194"/>
      <x:c r="Y20" s="339"/>
      <x:c r="Z20" s="339"/>
    </x:row>
    <x:row r="21">
      <x:c r="A21" s="28" t="str">
        <x:v>Delivery staffing</x:v>
      </x:c>
      <x:c r="B21" s="28" t="str">
        <x:v>Employer / Community Partnership Coordinators</x:v>
      </x:c>
      <x:c r="C21" s="28" t="str">
        <x:v>4 loaded FTE</x:v>
      </x:c>
      <x:c r="D21" s="32" t="n">
        <x:v>4</x:v>
      </x:c>
      <x:c r="E21" s="32" t="n">
        <x:v>4</x:v>
      </x:c>
      <x:c r="F21" s="32" t="n">
        <x:v>4</x:v>
      </x:c>
      <x:c r="G21" s="421" t="n">
        <x:v>125000</x:v>
      </x:c>
      <x:c r="H21" s="422" t="n">
        <x:v>0.025</x:v>
      </x:c>
      <x:c r="I21" s="423" t="n">
        <x:f>D21*G21</x:f>
        <x:v>500000</x:v>
      </x:c>
      <x:c r="J21" s="423" t="n">
        <x:f>E21*G21*(1+H21)</x:f>
        <x:v>512499.99999999994</x:v>
      </x:c>
      <x:c r="K21" s="423" t="n">
        <x:f>F21*G21*(1+H21)^2</x:f>
        <x:v>525312.5</x:v>
      </x:c>
      <x:c r="L21" s="423" t="n">
        <x:f>SUM(I21:K21)</x:f>
        <x:v>1537812.5</x:v>
      </x:c>
      <x:c r="M21" s="28" t="str">
        <x:v>S01;S09</x:v>
      </x:c>
      <x:c r="N21" s="28" t="str">
        <x:v>Confirm regional partner workload.</x:v>
      </x:c>
      <x:c r="O21" s="339"/>
      <x:c r="P21" s="339"/>
      <x:c r="Q21" s="339"/>
      <x:c r="R21" s="339"/>
      <x:c r="S21" s="339"/>
      <x:c r="T21" s="339"/>
      <x:c r="U21" s="1194"/>
      <x:c r="V21" s="1194"/>
      <x:c r="W21" s="1194"/>
      <x:c r="X21" s="1194"/>
      <x:c r="Y21" s="339"/>
      <x:c r="Z21" s="339"/>
    </x:row>
    <x:row r="22">
      <x:c r="A22" s="28" t="str">
        <x:v>Delivery staffing</x:v>
      </x:c>
      <x:c r="B22" s="28" t="str">
        <x:v>Central Programme, Policy, Finance and Data Team</x:v>
      </x:c>
      <x:c r="C22" s="28" t="str">
        <x:v>10 loaded FTE</x:v>
      </x:c>
      <x:c r="D22" s="32" t="n">
        <x:v>10</x:v>
      </x:c>
      <x:c r="E22" s="32" t="n">
        <x:v>10</x:v>
      </x:c>
      <x:c r="F22" s="32" t="n">
        <x:v>10</x:v>
      </x:c>
      <x:c r="G22" s="421" t="n">
        <x:v>145000</x:v>
      </x:c>
      <x:c r="H22" s="422" t="n">
        <x:v>0.025</x:v>
      </x:c>
      <x:c r="I22" s="423" t="n">
        <x:f>D22*G22</x:f>
        <x:v>1450000</x:v>
      </x:c>
      <x:c r="J22" s="423" t="n">
        <x:f>E22*G22*(1+H22)</x:f>
        <x:v>1486249.9999999998</x:v>
      </x:c>
      <x:c r="K22" s="423" t="n">
        <x:f>F22*G22*(1+H22)^2</x:f>
        <x:v>1523406.25</x:v>
      </x:c>
      <x:c r="L22" s="423" t="n">
        <x:f>SUM(I22:K22)</x:f>
        <x:v>4459656.25</x:v>
      </x:c>
      <x:c r="M22" s="28" t="str">
        <x:v>S09;S10;S12;S13</x:v>
      </x:c>
      <x:c r="N22" s="28" t="str">
        <x:v>Role mix to be confirmed in Year 0.</x:v>
      </x:c>
      <x:c r="O22" s="339"/>
      <x:c r="P22" s="339"/>
      <x:c r="Q22" s="339"/>
      <x:c r="R22" s="339"/>
      <x:c r="S22" s="339"/>
      <x:c r="T22" s="339"/>
      <x:c r="U22" s="1194"/>
      <x:c r="V22" s="1194"/>
      <x:c r="W22" s="1194"/>
      <x:c r="X22" s="1194"/>
      <x:c r="Y22" s="339"/>
      <x:c r="Z22" s="339"/>
    </x:row>
    <x:row r="23">
      <x:c r="A23" s="28" t="str">
        <x:v>Delivery staffing</x:v>
      </x:c>
      <x:c r="B23" s="28" t="str">
        <x:v>Payment reconciliation and Learning Capital operations</x:v>
      </x:c>
      <x:c r="C23" s="28" t="str">
        <x:v>6 loaded FTE</x:v>
      </x:c>
      <x:c r="D23" s="32" t="n">
        <x:v>6</x:v>
      </x:c>
      <x:c r="E23" s="32" t="n">
        <x:v>6</x:v>
      </x:c>
      <x:c r="F23" s="32" t="n">
        <x:v>6</x:v>
      </x:c>
      <x:c r="G23" s="414" t="n">
        <x:v>100000</x:v>
      </x:c>
      <x:c r="H23" s="415" t="n">
        <x:v>0.025</x:v>
      </x:c>
      <x:c r="I23" s="416" t="n">
        <x:f>D23*G23</x:f>
        <x:v>600000</x:v>
      </x:c>
      <x:c r="J23" s="416" t="n">
        <x:f>E23*G23*(1+H23)</x:f>
        <x:v>615000</x:v>
      </x:c>
      <x:c r="K23" s="416" t="n">
        <x:f>F23*G23*(1+H23)^2</x:f>
        <x:v>630375</x:v>
      </x:c>
      <x:c r="L23" s="416" t="n">
        <x:f>SUM(I23:K23)</x:f>
        <x:v>1845375</x:v>
      </x:c>
      <x:c r="M23" s="35" t="str">
        <x:v>S18;A05</x:v>
      </x:c>
      <x:c r="N23" s="35" t="str">
        <x:v>Includes participant-payment reconciliation and protected-account operations; a formal agency and provider estimate is still required.</x:v>
      </x:c>
      <x:c r="O23" s="339"/>
      <x:c r="P23" s="339"/>
      <x:c r="Q23" s="339"/>
      <x:c r="R23" s="339"/>
      <x:c r="S23" s="339"/>
      <x:c r="T23" s="339"/>
      <x:c r="U23" s="1194"/>
      <x:c r="V23" s="1194"/>
      <x:c r="W23" s="1194"/>
      <x:c r="X23" s="1194"/>
      <x:c r="Y23" s="339"/>
      <x:c r="Z23" s="339"/>
    </x:row>
    <x:row r="24">
      <x:c r="A24" s="28" t="str">
        <x:v>Delivery staffing</x:v>
      </x:c>
      <x:c r="B24" s="28" t="str">
        <x:v>Participant Support Desk / Operations</x:v>
      </x:c>
      <x:c r="C24" s="28" t="str">
        <x:v>4 loaded FTE</x:v>
      </x:c>
      <x:c r="D24" s="32" t="n">
        <x:v>4</x:v>
      </x:c>
      <x:c r="E24" s="32" t="n">
        <x:v>4</x:v>
      </x:c>
      <x:c r="F24" s="32" t="n">
        <x:v>4</x:v>
      </x:c>
      <x:c r="G24" s="421" t="n">
        <x:v>95000</x:v>
      </x:c>
      <x:c r="H24" s="422" t="n">
        <x:v>0.025</x:v>
      </x:c>
      <x:c r="I24" s="423" t="n">
        <x:f>D24*G24</x:f>
        <x:v>380000</x:v>
      </x:c>
      <x:c r="J24" s="423" t="n">
        <x:f>E24*G24*(1+H24)</x:f>
        <x:v>389499.99999999994</x:v>
      </x:c>
      <x:c r="K24" s="423" t="n">
        <x:f>F24*G24*(1+H24)^2</x:f>
        <x:v>399237.49999999994</x:v>
      </x:c>
      <x:c r="L24" s="423" t="n">
        <x:f>SUM(I24:K24)</x:f>
        <x:v>1168737.5</x:v>
      </x:c>
      <x:c r="M24" s="28" t="str">
        <x:v>S09;S11</x:v>
      </x:c>
      <x:c r="N24" s="28" t="str">
        <x:v>Demand and operating hours require service design.</x:v>
      </x:c>
      <x:c r="O24" s="339"/>
      <x:c r="P24" s="339"/>
      <x:c r="Q24" s="339"/>
      <x:c r="R24" s="339"/>
      <x:c r="S24" s="339"/>
      <x:c r="T24" s="339"/>
      <x:c r="U24" s="1194"/>
      <x:c r="V24" s="1194"/>
      <x:c r="W24" s="1194"/>
      <x:c r="X24" s="1194"/>
      <x:c r="Y24" s="339"/>
      <x:c r="Z24" s="339"/>
    </x:row>
    <x:row r="25">
      <x:c r="A25" s="373" t="str">
        <x:v>Delivery staffing subtotal</x:v>
      </x:c>
      <x:c r="B25" s="373"/>
      <x:c r="C25" s="373"/>
      <x:c r="D25" s="417"/>
      <x:c r="E25" s="417"/>
      <x:c r="F25" s="417"/>
      <x:c r="G25" s="418"/>
      <x:c r="H25" s="419"/>
      <x:c r="I25" s="420" t="n">
        <x:f>SUM(I18:I24)</x:f>
        <x:v>4835000</x:v>
      </x:c>
      <x:c r="J25" s="420" t="n">
        <x:f>SUM(J18:J24)</x:f>
        <x:v>4955875</x:v>
      </x:c>
      <x:c r="K25" s="420" t="n">
        <x:f>SUM(K18:K24)</x:f>
        <x:v>5079771.875</x:v>
      </x:c>
      <x:c r="L25" s="420" t="n">
        <x:f>SUM(L18:L24)</x:f>
        <x:v>14870646.875</x:v>
      </x:c>
      <x:c r="M25" s="373"/>
      <x:c r="N25" s="373"/>
      <x:c r="O25" s="339"/>
      <x:c r="P25" s="339"/>
      <x:c r="Q25" s="339"/>
      <x:c r="R25" s="339"/>
      <x:c r="S25" s="339"/>
      <x:c r="T25" s="339"/>
      <x:c r="U25" s="1194"/>
      <x:c r="V25" s="1194"/>
      <x:c r="W25" s="1194"/>
      <x:c r="X25" s="1194"/>
      <x:c r="Y25" s="339"/>
      <x:c r="Z25" s="339"/>
    </x:row>
    <x:row r="26">
      <x:c r="A26" s="28"/>
      <x:c r="B26" s="28"/>
      <x:c r="C26" s="28"/>
      <x:c r="D26" s="32"/>
      <x:c r="E26" s="32"/>
      <x:c r="F26" s="32"/>
      <x:c r="G26" s="421"/>
      <x:c r="H26" s="422"/>
      <x:c r="I26" s="423"/>
      <x:c r="J26" s="423"/>
      <x:c r="K26" s="423"/>
      <x:c r="L26" s="423"/>
      <x:c r="M26" s="28"/>
      <x:c r="N26" s="28"/>
      <x:c r="O26" s="339"/>
      <x:c r="P26" s="339"/>
      <x:c r="Q26" s="339"/>
      <x:c r="R26" s="339"/>
      <x:c r="S26" s="339"/>
      <x:c r="T26" s="339"/>
      <x:c r="U26" s="1194"/>
      <x:c r="V26" s="1194"/>
      <x:c r="W26" s="1194"/>
      <x:c r="X26" s="1194"/>
      <x:c r="Y26" s="339"/>
      <x:c r="Z26" s="339"/>
    </x:row>
    <x:row r="27" ht="21" customHeight="1">
      <x:c r="A27" s="368" t="str">
        <x:v>Schools, mentoring &amp; access</x:v>
      </x:c>
      <x:c r="B27" s="368" t="str">
        <x:v>Schools, mentoring &amp; access</x:v>
      </x:c>
      <x:c r="C27" s="368" t="str">
        <x:v>Schools, mentoring &amp; access</x:v>
      </x:c>
      <x:c r="D27" s="410" t="str">
        <x:v>Schools, mentoring &amp; access</x:v>
      </x:c>
      <x:c r="E27" s="410" t="str">
        <x:v>Schools, mentoring &amp; access</x:v>
      </x:c>
      <x:c r="F27" s="410" t="str">
        <x:v>Schools, mentoring &amp; access</x:v>
      </x:c>
      <x:c r="G27" s="411" t="str">
        <x:v>Schools, mentoring &amp; access</x:v>
      </x:c>
      <x:c r="H27" s="412" t="str">
        <x:v>Schools, mentoring &amp; access</x:v>
      </x:c>
      <x:c r="I27" s="413" t="str">
        <x:v>Schools, mentoring &amp; access</x:v>
      </x:c>
      <x:c r="J27" s="413" t="str">
        <x:v>Schools, mentoring &amp; access</x:v>
      </x:c>
      <x:c r="K27" s="413" t="str">
        <x:v>Schools, mentoring &amp; access</x:v>
      </x:c>
      <x:c r="L27" s="413" t="str">
        <x:v>Schools, mentoring &amp; access</x:v>
      </x:c>
      <x:c r="M27" s="368" t="str">
        <x:v>Schools, mentoring &amp; access</x:v>
      </x:c>
      <x:c r="N27" s="368" t="str">
        <x:v>Schools, mentoring &amp; access</x:v>
      </x:c>
      <x:c r="O27" s="339"/>
      <x:c r="P27" s="339"/>
      <x:c r="Q27" s="339"/>
      <x:c r="R27" s="339"/>
      <x:c r="S27" s="339"/>
      <x:c r="T27" s="339"/>
      <x:c r="U27" s="1194"/>
      <x:c r="V27" s="1194"/>
      <x:c r="W27" s="1194"/>
      <x:c r="X27" s="1194"/>
      <x:c r="Y27" s="339"/>
      <x:c r="Z27" s="339"/>
    </x:row>
    <x:row r="28">
      <x:c r="A28" s="28" t="str">
        <x:v>Schools, mentoring &amp; access</x:v>
      </x:c>
      <x:c r="B28" s="28" t="str">
        <x:v>Treatment-school capacity grants</x:v>
      </x:c>
      <x:c r="C28" s="28" t="str">
        <x:v>8 schools × $100,000 per year</x:v>
      </x:c>
      <x:c r="D28" s="32" t="n">
        <x:v>8</x:v>
      </x:c>
      <x:c r="E28" s="32" t="n">
        <x:v>8</x:v>
      </x:c>
      <x:c r="F28" s="32" t="n">
        <x:v>8</x:v>
      </x:c>
      <x:c r="G28" s="414" t="n">
        <x:v>100000</x:v>
      </x:c>
      <x:c r="H28" s="415" t="n">
        <x:v>0</x:v>
      </x:c>
      <x:c r="I28" s="416" t="n">
        <x:f>D28*G28</x:f>
        <x:v>800000</x:v>
      </x:c>
      <x:c r="J28" s="416" t="n">
        <x:f>E28*G28*(1+H28)</x:f>
        <x:v>800000</x:v>
      </x:c>
      <x:c r="K28" s="416" t="n">
        <x:f>F28*G28*(1+H28)^2</x:f>
        <x:v>800000</x:v>
      </x:c>
      <x:c r="L28" s="416" t="n">
        <x:f>SUM(I28:K28)</x:f>
        <x:v>2400000</x:v>
      </x:c>
      <x:c r="M28" s="35" t="str">
        <x:v>A03</x:v>
      </x:c>
      <x:c r="N28" s="35" t="str">
        <x:v>Policy allowance; validate workload with schools.</x:v>
      </x:c>
      <x:c r="O28" s="339"/>
      <x:c r="P28" s="339"/>
      <x:c r="Q28" s="339"/>
      <x:c r="R28" s="339"/>
      <x:c r="S28" s="339"/>
      <x:c r="T28" s="339"/>
      <x:c r="U28" s="1194"/>
      <x:c r="V28" s="1194"/>
      <x:c r="W28" s="1194"/>
      <x:c r="X28" s="1194"/>
      <x:c r="Y28" s="339"/>
      <x:c r="Z28" s="339"/>
    </x:row>
    <x:row r="29">
      <x:c r="A29" s="28" t="str">
        <x:v>Schools, mentoring &amp; access</x:v>
      </x:c>
      <x:c r="B29" s="28" t="str">
        <x:v>Comparison-school participation grants</x:v>
      </x:c>
      <x:c r="C29" s="28" t="str">
        <x:v>8 schools × $30,000 per year</x:v>
      </x:c>
      <x:c r="D29" s="32" t="n">
        <x:v>8</x:v>
      </x:c>
      <x:c r="E29" s="32" t="n">
        <x:v>8</x:v>
      </x:c>
      <x:c r="F29" s="32" t="n">
        <x:v>8</x:v>
      </x:c>
      <x:c r="G29" s="421" t="n">
        <x:v>30000</x:v>
      </x:c>
      <x:c r="H29" s="422" t="n">
        <x:v>0</x:v>
      </x:c>
      <x:c r="I29" s="423" t="n">
        <x:f>D29*G29</x:f>
        <x:v>240000</x:v>
      </x:c>
      <x:c r="J29" s="423" t="n">
        <x:f>E29*G29*(1+H29)</x:f>
        <x:v>240000</x:v>
      </x:c>
      <x:c r="K29" s="423" t="n">
        <x:f>F29*G29*(1+H29)^2</x:f>
        <x:v>240000</x:v>
      </x:c>
      <x:c r="L29" s="423" t="n">
        <x:f>SUM(I29:K29)</x:f>
        <x:v>720000</x:v>
      </x:c>
      <x:c r="M29" s="28" t="str">
        <x:v>A03</x:v>
      </x:c>
      <x:c r="N29" s="28" t="str">
        <x:v>Covers data, consent, surveys and operational burden.</x:v>
      </x:c>
      <x:c r="O29" s="339"/>
      <x:c r="P29" s="339"/>
      <x:c r="Q29" s="339"/>
      <x:c r="R29" s="339"/>
      <x:c r="S29" s="339"/>
      <x:c r="T29" s="339"/>
      <x:c r="U29" s="1194"/>
      <x:c r="V29" s="1194"/>
      <x:c r="W29" s="1194"/>
      <x:c r="X29" s="1194"/>
      <x:c r="Y29" s="339"/>
      <x:c r="Z29" s="339"/>
    </x:row>
    <x:row r="30">
      <x:c r="A30" s="28" t="str">
        <x:v>Schools, mentoring &amp; access</x:v>
      </x:c>
      <x:c r="B30" s="28" t="str">
        <x:v>Mentor training, materials and recognition</x:v>
      </x:c>
      <x:c r="C30" s="28" t="str">
        <x:v>Annual programme allowance</x:v>
      </x:c>
      <x:c r="D30" s="32" t="n">
        <x:v>1</x:v>
      </x:c>
      <x:c r="E30" s="32" t="n">
        <x:v>1</x:v>
      </x:c>
      <x:c r="F30" s="32" t="n">
        <x:v>1</x:v>
      </x:c>
      <x:c r="G30" s="421" t="n">
        <x:v>400000</x:v>
      </x:c>
      <x:c r="H30" s="422" t="n">
        <x:v>0</x:v>
      </x:c>
      <x:c r="I30" s="423" t="n">
        <x:f>D30*G30</x:f>
        <x:v>400000</x:v>
      </x:c>
      <x:c r="J30" s="423" t="n">
        <x:f>E30*G30*(1+H30)</x:f>
        <x:v>400000</x:v>
      </x:c>
      <x:c r="K30" s="423" t="n">
        <x:f>F30*G30*(1+H30)^2</x:f>
        <x:v>400000</x:v>
      </x:c>
      <x:c r="L30" s="423" t="n">
        <x:f>SUM(I30:K30)</x:f>
        <x:v>1200000</x:v>
      </x:c>
      <x:c r="M30" s="28" t="str">
        <x:v>A02;S17</x:v>
      </x:c>
      <x:c r="N30" s="28" t="str">
        <x:v>Includes vetting administration; actual mentor numbers require design.</x:v>
      </x:c>
      <x:c r="O30" s="339"/>
      <x:c r="P30" s="339"/>
      <x:c r="Q30" s="339"/>
      <x:c r="R30" s="339"/>
      <x:c r="S30" s="339"/>
      <x:c r="T30" s="339"/>
      <x:c r="U30" s="1194"/>
      <x:c r="V30" s="1194"/>
      <x:c r="W30" s="1194"/>
      <x:c r="X30" s="1194"/>
      <x:c r="Y30" s="339"/>
      <x:c r="Z30" s="339"/>
    </x:row>
    <x:row r="31">
      <x:c r="A31" s="28" t="str">
        <x:v>Schools, mentoring &amp; access</x:v>
      </x:c>
      <x:c r="B31" s="28" t="str">
        <x:v>Whānau, transport, accessibility and participation support</x:v>
      </x:c>
      <x:c r="C31" s="28" t="str">
        <x:v>Annual flexible-access allowance</x:v>
      </x:c>
      <x:c r="D31" s="32" t="n">
        <x:v>1</x:v>
      </x:c>
      <x:c r="E31" s="32" t="n">
        <x:v>1</x:v>
      </x:c>
      <x:c r="F31" s="32" t="n">
        <x:v>1</x:v>
      </x:c>
      <x:c r="G31" s="421" t="n">
        <x:v>300000</x:v>
      </x:c>
      <x:c r="H31" s="422" t="n">
        <x:v>0</x:v>
      </x:c>
      <x:c r="I31" s="423" t="n">
        <x:f>D31*G31</x:f>
        <x:v>300000</x:v>
      </x:c>
      <x:c r="J31" s="423" t="n">
        <x:f>E31*G31*(1+H31)</x:f>
        <x:v>300000</x:v>
      </x:c>
      <x:c r="K31" s="423" t="n">
        <x:f>F31*G31*(1+H31)^2</x:f>
        <x:v>300000</x:v>
      </x:c>
      <x:c r="L31" s="423" t="n">
        <x:f>SUM(I31:K31)</x:f>
        <x:v>900000</x:v>
      </x:c>
      <x:c r="M31" s="28" t="str">
        <x:v>A02</x:v>
      </x:c>
      <x:c r="N31" s="28" t="str">
        <x:v>Equity-critical; allocation rules require co-design.</x:v>
      </x:c>
      <x:c r="O31" s="339"/>
      <x:c r="P31" s="339"/>
      <x:c r="Q31" s="339"/>
      <x:c r="R31" s="339"/>
      <x:c r="S31" s="339"/>
      <x:c r="T31" s="339"/>
      <x:c r="U31" s="1194"/>
      <x:c r="V31" s="1194"/>
      <x:c r="W31" s="1194"/>
      <x:c r="X31" s="1194"/>
      <x:c r="Y31" s="339"/>
      <x:c r="Z31" s="339"/>
    </x:row>
    <x:row r="32">
      <x:c r="A32" s="28" t="str">
        <x:v>Schools, mentoring &amp; access</x:v>
      </x:c>
      <x:c r="B32" s="28" t="str">
        <x:v>Police vetting fees</x:v>
      </x:c>
      <x:c r="C32" s="28" t="str">
        <x:v>300 / 350 / 400 vets × current fee incl. GST</x:v>
      </x:c>
      <x:c r="D32" s="32" t="n">
        <x:v>300</x:v>
      </x:c>
      <x:c r="E32" s="32" t="n">
        <x:v>350</x:v>
      </x:c>
      <x:c r="F32" s="32" t="n">
        <x:v>400</x:v>
      </x:c>
      <x:c r="G32" s="421" t="n">
        <x:v>9.775</x:v>
      </x:c>
      <x:c r="H32" s="422" t="n">
        <x:v>0</x:v>
      </x:c>
      <x:c r="I32" s="423" t="n">
        <x:f>D32*G32</x:f>
        <x:v>2932.5</x:v>
      </x:c>
      <x:c r="J32" s="423" t="n">
        <x:f>E32*G32*(1+H32)</x:f>
        <x:v>3421.25</x:v>
      </x:c>
      <x:c r="K32" s="423" t="n">
        <x:f>F32*G32*(1+H32)^2</x:f>
        <x:v>3910</x:v>
      </x:c>
      <x:c r="L32" s="423" t="n">
        <x:f>SUM(I32:K32)</x:f>
        <x:v>10263.75</x:v>
      </x:c>
      <x:c r="M32" s="28" t="str">
        <x:v>S17;S22</x:v>
      </x:c>
      <x:c r="N32" s="28" t="str">
        <x:v>Fee change is under consultation for 2027.</x:v>
      </x:c>
      <x:c r="O32" s="339"/>
      <x:c r="P32" s="339"/>
      <x:c r="Q32" s="339"/>
      <x:c r="R32" s="339"/>
      <x:c r="S32" s="339"/>
      <x:c r="T32" s="339"/>
      <x:c r="U32" s="1194"/>
      <x:c r="V32" s="1194"/>
      <x:c r="W32" s="1194"/>
      <x:c r="X32" s="1194"/>
      <x:c r="Y32" s="339"/>
      <x:c r="Z32" s="339"/>
    </x:row>
    <x:row r="33">
      <x:c r="A33" s="373" t="str">
        <x:v>Schools, mentoring &amp; access subtotal</x:v>
      </x:c>
      <x:c r="B33" s="373"/>
      <x:c r="C33" s="373"/>
      <x:c r="D33" s="417"/>
      <x:c r="E33" s="417"/>
      <x:c r="F33" s="417"/>
      <x:c r="G33" s="418"/>
      <x:c r="H33" s="419"/>
      <x:c r="I33" s="420" t="n">
        <x:f>SUM(I28:I32)</x:f>
        <x:v>1742932.5</x:v>
      </x:c>
      <x:c r="J33" s="420" t="n">
        <x:f>SUM(J28:J32)</x:f>
        <x:v>1743421.25</x:v>
      </x:c>
      <x:c r="K33" s="420" t="n">
        <x:f>SUM(K28:K32)</x:f>
        <x:v>1743910</x:v>
      </x:c>
      <x:c r="L33" s="420" t="n">
        <x:f>SUM(L28:L32)</x:f>
        <x:v>5230263.75</x:v>
      </x:c>
      <x:c r="M33" s="373"/>
      <x:c r="N33" s="373"/>
      <x:c r="O33" s="339"/>
      <x:c r="P33" s="339"/>
      <x:c r="Q33" s="339"/>
      <x:c r="R33" s="339"/>
      <x:c r="S33" s="339"/>
      <x:c r="T33" s="339"/>
      <x:c r="U33" s="1194"/>
      <x:c r="V33" s="1194"/>
      <x:c r="W33" s="1194"/>
      <x:c r="X33" s="1194"/>
      <x:c r="Y33" s="339"/>
      <x:c r="Z33" s="339"/>
    </x:row>
    <x:row r="34">
      <x:c r="A34" s="28"/>
      <x:c r="B34" s="28"/>
      <x:c r="C34" s="28"/>
      <x:c r="D34" s="32"/>
      <x:c r="E34" s="32"/>
      <x:c r="F34" s="32"/>
      <x:c r="G34" s="421"/>
      <x:c r="H34" s="422"/>
      <x:c r="I34" s="423"/>
      <x:c r="J34" s="423"/>
      <x:c r="K34" s="423"/>
      <x:c r="L34" s="423"/>
      <x:c r="M34" s="28"/>
      <x:c r="N34" s="28"/>
      <x:c r="O34" s="339"/>
      <x:c r="P34" s="339"/>
      <x:c r="Q34" s="339"/>
      <x:c r="R34" s="339"/>
      <x:c r="S34" s="339"/>
      <x:c r="T34" s="339"/>
      <x:c r="U34" s="1194"/>
      <x:c r="V34" s="1194"/>
      <x:c r="W34" s="1194"/>
      <x:c r="X34" s="1194"/>
      <x:c r="Y34" s="339"/>
      <x:c r="Z34" s="339"/>
    </x:row>
    <x:row r="35" ht="21" customHeight="1">
      <x:c r="A35" s="368" t="str">
        <x:v>Technology &amp; payment services</x:v>
      </x:c>
      <x:c r="B35" s="368" t="str">
        <x:v>Technology &amp; payment services</x:v>
      </x:c>
      <x:c r="C35" s="368" t="str">
        <x:v>Technology &amp; payment services</x:v>
      </x:c>
      <x:c r="D35" s="410" t="str">
        <x:v>Technology &amp; payment services</x:v>
      </x:c>
      <x:c r="E35" s="410" t="str">
        <x:v>Technology &amp; payment services</x:v>
      </x:c>
      <x:c r="F35" s="410" t="str">
        <x:v>Technology &amp; payment services</x:v>
      </x:c>
      <x:c r="G35" s="411" t="str">
        <x:v>Technology &amp; payment services</x:v>
      </x:c>
      <x:c r="H35" s="412" t="str">
        <x:v>Technology &amp; payment services</x:v>
      </x:c>
      <x:c r="I35" s="413" t="str">
        <x:v>Technology &amp; payment services</x:v>
      </x:c>
      <x:c r="J35" s="413" t="str">
        <x:v>Technology &amp; payment services</x:v>
      </x:c>
      <x:c r="K35" s="413" t="str">
        <x:v>Technology &amp; payment services</x:v>
      </x:c>
      <x:c r="L35" s="413" t="str">
        <x:v>Technology &amp; payment services</x:v>
      </x:c>
      <x:c r="M35" s="368" t="str">
        <x:v>Technology &amp; payment services</x:v>
      </x:c>
      <x:c r="N35" s="368" t="str">
        <x:v>Technology &amp; payment services</x:v>
      </x:c>
      <x:c r="O35" s="339"/>
      <x:c r="P35" s="339"/>
      <x:c r="Q35" s="339"/>
      <x:c r="R35" s="339"/>
      <x:c r="S35" s="339"/>
      <x:c r="T35" s="339"/>
      <x:c r="U35" s="1194"/>
      <x:c r="V35" s="1194"/>
      <x:c r="W35" s="1194"/>
      <x:c r="X35" s="1194"/>
      <x:c r="Y35" s="339"/>
      <x:c r="Z35" s="339"/>
    </x:row>
    <x:row r="36">
      <x:c r="A36" s="28" t="str">
        <x:v>Technology &amp; payment services</x:v>
      </x:c>
      <x:c r="B36" s="28" t="str">
        <x:v>Production platform and integrations</x:v>
      </x:c>
      <x:c r="C36" s="28" t="str">
        <x:v>17,500 / 6,000 / 4,500 professional hours × $200</x:v>
      </x:c>
      <x:c r="D36" s="32" t="n">
        <x:v>17500</x:v>
      </x:c>
      <x:c r="E36" s="32" t="n">
        <x:v>6000</x:v>
      </x:c>
      <x:c r="F36" s="32" t="n">
        <x:v>4500</x:v>
      </x:c>
      <x:c r="G36" s="414" t="n">
        <x:v>200</x:v>
      </x:c>
      <x:c r="H36" s="415" t="n">
        <x:v>0</x:v>
      </x:c>
      <x:c r="I36" s="416" t="n">
        <x:f>D36*G36</x:f>
        <x:v>3500000</x:v>
      </x:c>
      <x:c r="J36" s="416" t="n">
        <x:f>E36*G36*(1+H36)</x:f>
        <x:v>1200000</x:v>
      </x:c>
      <x:c r="K36" s="416" t="n">
        <x:f>F36*G36*(1+H36)^2</x:f>
        <x:v>900000</x:v>
      </x:c>
      <x:c r="L36" s="416" t="n">
        <x:f>SUM(I36:K36)</x:f>
        <x:v>5600000</x:v>
      </x:c>
      <x:c r="M36" s="35" t="str">
        <x:v>A04;S16;S18;S19</x:v>
      </x:c>
      <x:c r="N36" s="35" t="str">
        <x:v>Replace with architecture, build-vs-buy and competitive procurement.</x:v>
      </x:c>
      <x:c r="O36" s="339"/>
      <x:c r="P36" s="339"/>
      <x:c r="Q36" s="339"/>
      <x:c r="R36" s="339"/>
      <x:c r="S36" s="339"/>
      <x:c r="T36" s="339"/>
      <x:c r="U36" s="1194"/>
      <x:c r="V36" s="1194"/>
      <x:c r="W36" s="1194"/>
      <x:c r="X36" s="1194"/>
      <x:c r="Y36" s="339"/>
      <x:c r="Z36" s="339"/>
    </x:row>
    <x:row r="37">
      <x:c r="A37" s="28" t="str">
        <x:v>Technology &amp; payment services</x:v>
      </x:c>
      <x:c r="B37" s="28" t="str">
        <x:v>Cloud hosting, security operations and software licences</x:v>
      </x:c>
      <x:c r="C37" s="28" t="str">
        <x:v>Annual allowance; grows with production usage</x:v>
      </x:c>
      <x:c r="D37" s="32" t="n">
        <x:v>1</x:v>
      </x:c>
      <x:c r="E37" s="32" t="n">
        <x:v>1</x:v>
      </x:c>
      <x:c r="F37" s="32" t="n">
        <x:v>1</x:v>
      </x:c>
      <x:c r="G37" s="414" t="n">
        <x:v>900000</x:v>
      </x:c>
      <x:c r="H37" s="415" t="n">
        <x:v>0.1</x:v>
      </x:c>
      <x:c r="I37" s="416" t="n">
        <x:f>D37*G37</x:f>
        <x:v>900000</x:v>
      </x:c>
      <x:c r="J37" s="416" t="n">
        <x:f>E37*G37*(1+H37)</x:f>
        <x:v>990000.0000000001</x:v>
      </x:c>
      <x:c r="K37" s="416" t="n">
        <x:f>F37*G37*(1+H37)^2</x:f>
        <x:v>1089000.0000000002</x:v>
      </x:c>
      <x:c r="L37" s="416" t="n">
        <x:f>SUM(I37:K37)</x:f>
        <x:v>2979000</x:v>
      </x:c>
      <x:c r="M37" s="35" t="str">
        <x:v>A04;S19;S20</x:v>
      </x:c>
      <x:c r="N37" s="35" t="str">
        <x:v>Replace with vendor quotes and security classification.</x:v>
      </x:c>
      <x:c r="O37" s="339"/>
      <x:c r="P37" s="339"/>
      <x:c r="Q37" s="339"/>
      <x:c r="R37" s="339"/>
      <x:c r="S37" s="339"/>
      <x:c r="T37" s="339"/>
      <x:c r="U37" s="1194"/>
      <x:c r="V37" s="1194"/>
      <x:c r="W37" s="1194"/>
      <x:c r="X37" s="1194"/>
      <x:c r="Y37" s="339"/>
      <x:c r="Z37" s="339"/>
    </x:row>
    <x:row r="38">
      <x:c r="A38" s="28" t="str">
        <x:v>Technology &amp; payment services</x:v>
      </x:c>
      <x:c r="B38" s="28" t="str">
        <x:v>Immediate-payment and Learning Capital administration allowance</x:v>
      </x:c>
      <x:c r="C38" s="28" t="str">
        <x:v>Annual budgetary placeholder</x:v>
      </x:c>
      <x:c r="D38" s="32" t="n">
        <x:v>1</x:v>
      </x:c>
      <x:c r="E38" s="32" t="n">
        <x:v>1</x:v>
      </x:c>
      <x:c r="F38" s="32" t="n">
        <x:v>1</x:v>
      </x:c>
      <x:c r="G38" s="421" t="n">
        <x:v>600000</x:v>
      </x:c>
      <x:c r="H38" s="422" t="n">
        <x:v>0.08</x:v>
      </x:c>
      <x:c r="I38" s="423" t="n">
        <x:f>D38*G38</x:f>
        <x:v>600000</x:v>
      </x:c>
      <x:c r="J38" s="423" t="n">
        <x:f>E38*G38*(1+H38)</x:f>
        <x:v>648000</x:v>
      </x:c>
      <x:c r="K38" s="423" t="n">
        <x:f>F38*G38*(1+H38)^2</x:f>
        <x:v>699840.0000000001</x:v>
      </x:c>
      <x:c r="L38" s="423" t="n">
        <x:f>SUM(I38:K38)</x:f>
        <x:v>1947840</x:v>
      </x:c>
      <x:c r="M38" s="28" t="str">
        <x:v>A05;S18</x:v>
      </x:c>
      <x:c r="N38" s="28" t="str">
        <x:v>Formal inter-agency, provider and custodian estimates are mandatory.</x:v>
      </x:c>
      <x:c r="O38" s="339"/>
      <x:c r="P38" s="339"/>
      <x:c r="Q38" s="339"/>
      <x:c r="R38" s="339"/>
      <x:c r="S38" s="339"/>
      <x:c r="T38" s="339"/>
      <x:c r="U38" s="1194"/>
      <x:c r="V38" s="1194"/>
      <x:c r="W38" s="1194"/>
      <x:c r="X38" s="1194"/>
      <x:c r="Y38" s="339"/>
      <x:c r="Z38" s="339"/>
    </x:row>
    <x:row r="39">
      <x:c r="A39" s="373" t="str">
        <x:v>Technology &amp; payment services subtotal</x:v>
      </x:c>
      <x:c r="B39" s="373"/>
      <x:c r="C39" s="373"/>
      <x:c r="D39" s="417"/>
      <x:c r="E39" s="417"/>
      <x:c r="F39" s="417"/>
      <x:c r="G39" s="418"/>
      <x:c r="H39" s="419"/>
      <x:c r="I39" s="420" t="n">
        <x:f>SUM(I36:I38)</x:f>
        <x:v>5000000</x:v>
      </x:c>
      <x:c r="J39" s="420" t="n">
        <x:f>SUM(J36:J38)</x:f>
        <x:v>2838000</x:v>
      </x:c>
      <x:c r="K39" s="420" t="n">
        <x:f>SUM(K36:K38)</x:f>
        <x:v>2688840.0000000005</x:v>
      </x:c>
      <x:c r="L39" s="420" t="n">
        <x:f>SUM(L36:L38)</x:f>
        <x:v>10526840</x:v>
      </x:c>
      <x:c r="M39" s="373"/>
      <x:c r="N39" s="373"/>
      <x:c r="O39" s="339"/>
      <x:c r="P39" s="339"/>
      <x:c r="Q39" s="339"/>
      <x:c r="R39" s="339"/>
      <x:c r="S39" s="339"/>
      <x:c r="T39" s="339"/>
      <x:c r="U39" s="1194"/>
      <x:c r="V39" s="1194"/>
      <x:c r="W39" s="1194"/>
      <x:c r="X39" s="1194"/>
      <x:c r="Y39" s="339"/>
      <x:c r="Z39" s="339"/>
    </x:row>
    <x:row r="40">
      <x:c r="A40" s="28"/>
      <x:c r="B40" s="28"/>
      <x:c r="C40" s="28"/>
      <x:c r="D40" s="32"/>
      <x:c r="E40" s="32"/>
      <x:c r="F40" s="32"/>
      <x:c r="G40" s="421"/>
      <x:c r="H40" s="422"/>
      <x:c r="I40" s="423"/>
      <x:c r="J40" s="423"/>
      <x:c r="K40" s="423"/>
      <x:c r="L40" s="423"/>
      <x:c r="M40" s="28"/>
      <x:c r="N40" s="28"/>
      <x:c r="O40" s="339"/>
      <x:c r="P40" s="339"/>
      <x:c r="Q40" s="339"/>
      <x:c r="R40" s="339"/>
      <x:c r="S40" s="339"/>
      <x:c r="T40" s="339"/>
      <x:c r="U40" s="1194"/>
      <x:c r="V40" s="1194"/>
      <x:c r="W40" s="1194"/>
      <x:c r="X40" s="1194"/>
      <x:c r="Y40" s="339"/>
      <x:c r="Z40" s="339"/>
    </x:row>
    <x:row r="41" ht="21" customHeight="1">
      <x:c r="A41" s="368" t="str">
        <x:v>Independent evaluation</x:v>
      </x:c>
      <x:c r="B41" s="368" t="str">
        <x:v>Independent evaluation</x:v>
      </x:c>
      <x:c r="C41" s="368" t="str">
        <x:v>Independent evaluation</x:v>
      </x:c>
      <x:c r="D41" s="410" t="str">
        <x:v>Independent evaluation</x:v>
      </x:c>
      <x:c r="E41" s="410" t="str">
        <x:v>Independent evaluation</x:v>
      </x:c>
      <x:c r="F41" s="410" t="str">
        <x:v>Independent evaluation</x:v>
      </x:c>
      <x:c r="G41" s="411" t="str">
        <x:v>Independent evaluation</x:v>
      </x:c>
      <x:c r="H41" s="412" t="str">
        <x:v>Independent evaluation</x:v>
      </x:c>
      <x:c r="I41" s="413" t="str">
        <x:v>Independent evaluation</x:v>
      </x:c>
      <x:c r="J41" s="413" t="str">
        <x:v>Independent evaluation</x:v>
      </x:c>
      <x:c r="K41" s="413" t="str">
        <x:v>Independent evaluation</x:v>
      </x:c>
      <x:c r="L41" s="413" t="str">
        <x:v>Independent evaluation</x:v>
      </x:c>
      <x:c r="M41" s="368" t="str">
        <x:v>Independent evaluation</x:v>
      </x:c>
      <x:c r="N41" s="368" t="str">
        <x:v>Independent evaluation</x:v>
      </x:c>
      <x:c r="O41" s="339"/>
      <x:c r="P41" s="339"/>
      <x:c r="Q41" s="339"/>
      <x:c r="R41" s="339"/>
      <x:c r="S41" s="339"/>
      <x:c r="T41" s="339"/>
      <x:c r="U41" s="1194"/>
      <x:c r="V41" s="1194"/>
      <x:c r="W41" s="1194"/>
      <x:c r="X41" s="1194"/>
      <x:c r="Y41" s="339"/>
      <x:c r="Z41" s="339"/>
    </x:row>
    <x:row r="42">
      <x:c r="A42" s="28" t="str">
        <x:v>Independent evaluation</x:v>
      </x:c>
      <x:c r="B42" s="28" t="str">
        <x:v>Impact and implementation evaluation</x:v>
      </x:c>
      <x:c r="C42" s="28" t="str">
        <x:v>8,000 / 8,000 / 12,000 professional hours × $200</x:v>
      </x:c>
      <x:c r="D42" s="32" t="n">
        <x:v>8000</x:v>
      </x:c>
      <x:c r="E42" s="32" t="n">
        <x:v>8000</x:v>
      </x:c>
      <x:c r="F42" s="32" t="n">
        <x:v>12000</x:v>
      </x:c>
      <x:c r="G42" s="414" t="n">
        <x:v>200</x:v>
      </x:c>
      <x:c r="H42" s="415" t="n">
        <x:v>0</x:v>
      </x:c>
      <x:c r="I42" s="416" t="n">
        <x:f>D42*G42</x:f>
        <x:v>1600000</x:v>
      </x:c>
      <x:c r="J42" s="416" t="n">
        <x:f>E42*G42*(1+H42)</x:f>
        <x:v>1600000</x:v>
      </x:c>
      <x:c r="K42" s="416" t="n">
        <x:f>F42*G42*(1+H42)^2</x:f>
        <x:v>2400000</x:v>
      </x:c>
      <x:c r="L42" s="416" t="n">
        <x:f>SUM(I42:K42)</x:f>
        <x:v>5600000</x:v>
      </x:c>
      <x:c r="M42" s="35" t="str">
        <x:v>A01;S04;S05</x:v>
      </x:c>
      <x:c r="N42" s="35" t="str">
        <x:v>Independent procurement and power analysis required.</x:v>
      </x:c>
      <x:c r="O42" s="339"/>
      <x:c r="P42" s="339"/>
      <x:c r="Q42" s="339"/>
      <x:c r="R42" s="339"/>
      <x:c r="S42" s="339"/>
      <x:c r="T42" s="339"/>
      <x:c r="U42" s="1194"/>
      <x:c r="V42" s="1194"/>
      <x:c r="W42" s="1194"/>
      <x:c r="X42" s="1194"/>
      <x:c r="Y42" s="339"/>
      <x:c r="Z42" s="339"/>
    </x:row>
    <x:row r="43">
      <x:c r="A43" s="28" t="str">
        <x:v>Independent evaluation</x:v>
      </x:c>
      <x:c r="B43" s="28" t="str">
        <x:v>Surveys, data linkage and participant follow-up</x:v>
      </x:c>
      <x:c r="C43" s="28" t="str">
        <x:v>8,400 participants × approx. $71 / $71 / $95</x:v>
      </x:c>
      <x:c r="D43" s="32" t="n">
        <x:v>8400</x:v>
      </x:c>
      <x:c r="E43" s="32" t="n">
        <x:v>8400</x:v>
      </x:c>
      <x:c r="F43" s="32" t="n">
        <x:v>8400</x:v>
      </x:c>
      <x:c r="G43" s="421" t="n">
        <x:v>71.4286</x:v>
      </x:c>
      <x:c r="H43" s="422" t="n">
        <x:v>0</x:v>
      </x:c>
      <x:c r="I43" s="423" t="n">
        <x:f>D43*G43</x:f>
        <x:v>600000.24</x:v>
      </x:c>
      <x:c r="J43" s="423" t="n">
        <x:f>E43*G43*(1+H43)</x:f>
        <x:v>600000.24</x:v>
      </x:c>
      <x:c r="K43" s="423" t="n">
        <x:f>F43*G43*(1+H43)^2</x:f>
        <x:v>600000.24</x:v>
      </x:c>
      <x:c r="L43" s="423" t="n">
        <x:f>SUM(I43:K43)</x:f>
        <x:v>1800000.72</x:v>
      </x:c>
      <x:c r="M43" s="28" t="str">
        <x:v>A01;S15</x:v>
      </x:c>
      <x:c r="N43" s="28" t="str">
        <x:v>Includes treatment and comparison cohorts; retention risk must be priced.</x:v>
      </x:c>
      <x:c r="O43" s="339"/>
      <x:c r="P43" s="339"/>
      <x:c r="Q43" s="339"/>
      <x:c r="R43" s="339"/>
      <x:c r="S43" s="339"/>
      <x:c r="T43" s="339"/>
      <x:c r="U43" s="1194"/>
      <x:c r="V43" s="1194"/>
      <x:c r="W43" s="1194"/>
      <x:c r="X43" s="1194"/>
      <x:c r="Y43" s="339"/>
      <x:c r="Z43" s="339"/>
    </x:row>
    <x:row r="44">
      <x:c r="A44" s="28" t="str">
        <x:v>Independent evaluation</x:v>
      </x:c>
      <x:c r="B44" s="28" t="str">
        <x:v>Māori, Pacific and youth-led cultural process evaluation</x:v>
      </x:c>
      <x:c r="C44" s="28" t="str">
        <x:v>Annual independent allowance</x:v>
      </x:c>
      <x:c r="D44" s="32" t="n">
        <x:v>1</x:v>
      </x:c>
      <x:c r="E44" s="32" t="n">
        <x:v>1</x:v>
      </x:c>
      <x:c r="F44" s="32" t="n">
        <x:v>1</x:v>
      </x:c>
      <x:c r="G44" s="421" t="n">
        <x:v>350000</x:v>
      </x:c>
      <x:c r="H44" s="422" t="n">
        <x:v>0</x:v>
      </x:c>
      <x:c r="I44" s="423" t="n">
        <x:f>D44*G44</x:f>
        <x:v>350000</x:v>
      </x:c>
      <x:c r="J44" s="423" t="n">
        <x:f>E44*G44*(1+H44)</x:f>
        <x:v>350000</x:v>
      </x:c>
      <x:c r="K44" s="423" t="n">
        <x:f>F44*G44*(1+H44)^2</x:f>
        <x:v>350000</x:v>
      </x:c>
      <x:c r="L44" s="423" t="n">
        <x:f>SUM(I44:K44)</x:f>
        <x:v>1050000</x:v>
      </x:c>
      <x:c r="M44" s="28" t="str">
        <x:v>A02;S01</x:v>
      </x:c>
      <x:c r="N44" s="28" t="str">
        <x:v>Governance and evaluator independence must be protected.</x:v>
      </x:c>
      <x:c r="O44" s="339"/>
      <x:c r="P44" s="339"/>
      <x:c r="Q44" s="339"/>
      <x:c r="R44" s="339"/>
      <x:c r="S44" s="339"/>
      <x:c r="T44" s="339"/>
      <x:c r="U44" s="1194"/>
      <x:c r="V44" s="1194"/>
      <x:c r="W44" s="1194"/>
      <x:c r="X44" s="1194"/>
      <x:c r="Y44" s="339"/>
      <x:c r="Z44" s="339"/>
    </x:row>
    <x:row r="45">
      <x:c r="A45" s="373" t="str">
        <x:v>Independent evaluation subtotal</x:v>
      </x:c>
      <x:c r="B45" s="373"/>
      <x:c r="C45" s="373"/>
      <x:c r="D45" s="417"/>
      <x:c r="E45" s="417"/>
      <x:c r="F45" s="417"/>
      <x:c r="G45" s="418"/>
      <x:c r="H45" s="419"/>
      <x:c r="I45" s="420" t="n">
        <x:f>SUM(I42:I44)</x:f>
        <x:v>2550000.24</x:v>
      </x:c>
      <x:c r="J45" s="420" t="n">
        <x:f>SUM(J42:J44)</x:f>
        <x:v>2550000.24</x:v>
      </x:c>
      <x:c r="K45" s="420" t="n">
        <x:f>SUM(K42:K44)</x:f>
        <x:v>3350000.24</x:v>
      </x:c>
      <x:c r="L45" s="420" t="n">
        <x:f>SUM(L42:L44)</x:f>
        <x:v>8450000.719999999</x:v>
      </x:c>
      <x:c r="M45" s="373"/>
      <x:c r="N45" s="373"/>
      <x:c r="O45" s="339"/>
      <x:c r="P45" s="339"/>
      <x:c r="Q45" s="339"/>
      <x:c r="R45" s="339"/>
      <x:c r="S45" s="339"/>
      <x:c r="T45" s="339"/>
      <x:c r="U45" s="1194"/>
      <x:c r="V45" s="1194"/>
      <x:c r="W45" s="1194"/>
      <x:c r="X45" s="1194"/>
      <x:c r="Y45" s="339"/>
      <x:c r="Z45" s="339"/>
    </x:row>
    <x:row r="46">
      <x:c r="A46" s="28"/>
      <x:c r="B46" s="28"/>
      <x:c r="C46" s="28"/>
      <x:c r="D46" s="32"/>
      <x:c r="E46" s="32"/>
      <x:c r="F46" s="32"/>
      <x:c r="G46" s="421"/>
      <x:c r="H46" s="422"/>
      <x:c r="I46" s="423"/>
      <x:c r="J46" s="423"/>
      <x:c r="K46" s="423"/>
      <x:c r="L46" s="423"/>
      <x:c r="M46" s="28"/>
      <x:c r="N46" s="28"/>
      <x:c r="O46" s="339"/>
      <x:c r="P46" s="339"/>
      <x:c r="Q46" s="339"/>
      <x:c r="R46" s="339"/>
      <x:c r="S46" s="339"/>
      <x:c r="T46" s="339"/>
      <x:c r="U46" s="1194"/>
      <x:c r="V46" s="1194"/>
      <x:c r="W46" s="1194"/>
      <x:c r="X46" s="1194"/>
      <x:c r="Y46" s="339"/>
      <x:c r="Z46" s="339"/>
    </x:row>
    <x:row r="47" ht="21" customHeight="1">
      <x:c r="A47" s="368" t="str">
        <x:v>Governance, assurance &amp; reporting</x:v>
      </x:c>
      <x:c r="B47" s="368" t="str">
        <x:v>Governance, assurance &amp; reporting</x:v>
      </x:c>
      <x:c r="C47" s="368" t="str">
        <x:v>Governance, assurance &amp; reporting</x:v>
      </x:c>
      <x:c r="D47" s="410" t="str">
        <x:v>Governance, assurance &amp; reporting</x:v>
      </x:c>
      <x:c r="E47" s="410" t="str">
        <x:v>Governance, assurance &amp; reporting</x:v>
      </x:c>
      <x:c r="F47" s="410" t="str">
        <x:v>Governance, assurance &amp; reporting</x:v>
      </x:c>
      <x:c r="G47" s="411" t="str">
        <x:v>Governance, assurance &amp; reporting</x:v>
      </x:c>
      <x:c r="H47" s="412" t="str">
        <x:v>Governance, assurance &amp; reporting</x:v>
      </x:c>
      <x:c r="I47" s="413" t="str">
        <x:v>Governance, assurance &amp; reporting</x:v>
      </x:c>
      <x:c r="J47" s="413" t="str">
        <x:v>Governance, assurance &amp; reporting</x:v>
      </x:c>
      <x:c r="K47" s="413" t="str">
        <x:v>Governance, assurance &amp; reporting</x:v>
      </x:c>
      <x:c r="L47" s="413" t="str">
        <x:v>Governance, assurance &amp; reporting</x:v>
      </x:c>
      <x:c r="M47" s="368" t="str">
        <x:v>Governance, assurance &amp; reporting</x:v>
      </x:c>
      <x:c r="N47" s="368" t="str">
        <x:v>Governance, assurance &amp; reporting</x:v>
      </x:c>
      <x:c r="O47" s="339"/>
      <x:c r="P47" s="339"/>
      <x:c r="Q47" s="339"/>
      <x:c r="R47" s="339"/>
      <x:c r="S47" s="339"/>
      <x:c r="T47" s="339"/>
      <x:c r="U47" s="1194"/>
      <x:c r="V47" s="1194"/>
      <x:c r="W47" s="1194"/>
      <x:c r="X47" s="1194"/>
      <x:c r="Y47" s="339"/>
      <x:c r="Z47" s="339"/>
    </x:row>
    <x:row r="48">
      <x:c r="A48" s="28" t="str">
        <x:v>Governance, assurance &amp; reporting</x:v>
      </x:c>
      <x:c r="B48" s="28" t="str">
        <x:v>Board, advisory panels, travel and secretariat</x:v>
      </x:c>
      <x:c r="C48" s="28" t="str">
        <x:v>Cabinet-fee benchmark plus travel/admin allowance</x:v>
      </x:c>
      <x:c r="D48" s="32" t="n">
        <x:v>1</x:v>
      </x:c>
      <x:c r="E48" s="32" t="n">
        <x:v>1</x:v>
      </x:c>
      <x:c r="F48" s="32" t="n">
        <x:v>1</x:v>
      </x:c>
      <x:c r="G48" s="421" t="n">
        <x:v>250000</x:v>
      </x:c>
      <x:c r="H48" s="422" t="n">
        <x:v>0</x:v>
      </x:c>
      <x:c r="I48" s="423" t="n">
        <x:f>D48*G48</x:f>
        <x:v>250000</x:v>
      </x:c>
      <x:c r="J48" s="423" t="n">
        <x:f>E48*G48*(1+H48)</x:f>
        <x:v>250000</x:v>
      </x:c>
      <x:c r="K48" s="423" t="n">
        <x:f>F48*G48*(1+H48)^2</x:f>
        <x:v>250000</x:v>
      </x:c>
      <x:c r="L48" s="423" t="n">
        <x:f>SUM(I48:K48)</x:f>
        <x:v>750000</x:v>
      </x:c>
      <x:c r="M48" s="28" t="str">
        <x:v>S14</x:v>
      </x:c>
      <x:c r="N48" s="28" t="str">
        <x:v>Confirm board classification and annual workload.</x:v>
      </x:c>
      <x:c r="O48" s="339"/>
      <x:c r="P48" s="339"/>
      <x:c r="Q48" s="339"/>
      <x:c r="R48" s="339"/>
      <x:c r="S48" s="339"/>
      <x:c r="T48" s="339"/>
      <x:c r="U48" s="1194"/>
      <x:c r="V48" s="1194"/>
      <x:c r="W48" s="1194"/>
      <x:c r="X48" s="1194"/>
      <x:c r="Y48" s="339"/>
      <x:c r="Z48" s="339"/>
    </x:row>
    <x:row r="49">
      <x:c r="A49" s="28" t="str">
        <x:v>Governance, assurance &amp; reporting</x:v>
      </x:c>
      <x:c r="B49" s="28" t="str">
        <x:v>Ongoing iwi, Pacific, youth and whānau co-design</x:v>
      </x:c>
      <x:c r="C49" s="28" t="str">
        <x:v>Annual partner-led allowance</x:v>
      </x:c>
      <x:c r="D49" s="32" t="n">
        <x:v>1</x:v>
      </x:c>
      <x:c r="E49" s="32" t="n">
        <x:v>1</x:v>
      </x:c>
      <x:c r="F49" s="32" t="n">
        <x:v>1</x:v>
      </x:c>
      <x:c r="G49" s="421" t="n">
        <x:v>550000</x:v>
      </x:c>
      <x:c r="H49" s="422" t="n">
        <x:v>0</x:v>
      </x:c>
      <x:c r="I49" s="423" t="n">
        <x:f>D49*G49</x:f>
        <x:v>550000</x:v>
      </x:c>
      <x:c r="J49" s="423" t="n">
        <x:f>E49*G49*(1+H49)</x:f>
        <x:v>550000</x:v>
      </x:c>
      <x:c r="K49" s="423" t="n">
        <x:f>F49*G49*(1+H49)^2</x:f>
        <x:v>550000</x:v>
      </x:c>
      <x:c r="L49" s="423" t="n">
        <x:f>SUM(I49:K49)</x:f>
        <x:v>1650000</x:v>
      </x:c>
      <x:c r="M49" s="28" t="str">
        <x:v>A02;S01</x:v>
      </x:c>
      <x:c r="N49" s="28" t="str">
        <x:v>Obtain partner budgets; do not treat consultation as unpaid.</x:v>
      </x:c>
      <x:c r="O49" s="339"/>
      <x:c r="P49" s="339"/>
      <x:c r="Q49" s="339"/>
      <x:c r="R49" s="339"/>
      <x:c r="S49" s="339"/>
      <x:c r="T49" s="339"/>
      <x:c r="U49" s="1194"/>
      <x:c r="V49" s="1194"/>
      <x:c r="W49" s="1194"/>
      <x:c r="X49" s="1194"/>
      <x:c r="Y49" s="339"/>
      <x:c r="Z49" s="339"/>
    </x:row>
    <x:row r="50">
      <x:c r="A50" s="28" t="str">
        <x:v>Governance, assurance &amp; reporting</x:v>
      </x:c>
      <x:c r="B50" s="28" t="str">
        <x:v>Legal, privacy, audit, security assurance and insurance</x:v>
      </x:c>
      <x:c r="C50" s="28" t="str">
        <x:v>3,000 professional hours × $200</x:v>
      </x:c>
      <x:c r="D50" s="32" t="n">
        <x:v>3000</x:v>
      </x:c>
      <x:c r="E50" s="32" t="n">
        <x:v>3000</x:v>
      </x:c>
      <x:c r="F50" s="32" t="n">
        <x:v>3000</x:v>
      </x:c>
      <x:c r="G50" s="421" t="n">
        <x:v>200</x:v>
      </x:c>
      <x:c r="H50" s="422" t="n">
        <x:v>0</x:v>
      </x:c>
      <x:c r="I50" s="423" t="n">
        <x:f>D50*G50</x:f>
        <x:v>600000</x:v>
      </x:c>
      <x:c r="J50" s="423" t="n">
        <x:f>E50*G50*(1+H50)</x:f>
        <x:v>600000</x:v>
      </x:c>
      <x:c r="K50" s="423" t="n">
        <x:f>F50*G50*(1+H50)^2</x:f>
        <x:v>600000</x:v>
      </x:c>
      <x:c r="L50" s="423" t="n">
        <x:f>SUM(I50:K50)</x:f>
        <x:v>1800000</x:v>
      </x:c>
      <x:c r="M50" s="28" t="str">
        <x:v>A01;S15;S16</x:v>
      </x:c>
      <x:c r="N50" s="28" t="str">
        <x:v>Scope depends on data sharing and payment mechanism.</x:v>
      </x:c>
      <x:c r="O50" s="339"/>
      <x:c r="P50" s="339"/>
      <x:c r="Q50" s="339"/>
      <x:c r="R50" s="339"/>
      <x:c r="S50" s="339"/>
      <x:c r="T50" s="339"/>
      <x:c r="U50" s="1194"/>
      <x:c r="V50" s="1194"/>
      <x:c r="W50" s="1194"/>
      <x:c r="X50" s="1194"/>
      <x:c r="Y50" s="339"/>
      <x:c r="Z50" s="339"/>
    </x:row>
    <x:row r="51">
      <x:c r="A51" s="28" t="str">
        <x:v>Governance, assurance &amp; reporting</x:v>
      </x:c>
      <x:c r="B51" s="28" t="str">
        <x:v>Public reporting, communications and parliamentary material</x:v>
      </x:c>
      <x:c r="C51" s="28" t="str">
        <x:v>1,500 professional hours × $200</x:v>
      </x:c>
      <x:c r="D51" s="32" t="n">
        <x:v>1500</x:v>
      </x:c>
      <x:c r="E51" s="32" t="n">
        <x:v>1500</x:v>
      </x:c>
      <x:c r="F51" s="32" t="n">
        <x:v>1500</x:v>
      </x:c>
      <x:c r="G51" s="421" t="n">
        <x:v>200</x:v>
      </x:c>
      <x:c r="H51" s="422" t="n">
        <x:v>0</x:v>
      </x:c>
      <x:c r="I51" s="423" t="n">
        <x:f>D51*G51</x:f>
        <x:v>300000</x:v>
      </x:c>
      <x:c r="J51" s="423" t="n">
        <x:f>E51*G51*(1+H51)</x:f>
        <x:v>300000</x:v>
      </x:c>
      <x:c r="K51" s="423" t="n">
        <x:f>F51*G51*(1+H51)^2</x:f>
        <x:v>300000</x:v>
      </x:c>
      <x:c r="L51" s="423" t="n">
        <x:f>SUM(I51:K51)</x:f>
        <x:v>900000</x:v>
      </x:c>
      <x:c r="M51" s="28" t="str">
        <x:v>A01;S07</x:v>
      </x:c>
      <x:c r="N51" s="28" t="str">
        <x:v>Includes annual public reporting and final report-back.</x:v>
      </x:c>
      <x:c r="O51" s="339"/>
      <x:c r="P51" s="339"/>
      <x:c r="Q51" s="339"/>
      <x:c r="R51" s="339"/>
      <x:c r="S51" s="339"/>
      <x:c r="T51" s="339"/>
      <x:c r="U51" s="1194"/>
      <x:c r="V51" s="1194"/>
      <x:c r="W51" s="1194"/>
      <x:c r="X51" s="1194"/>
      <x:c r="Y51" s="339"/>
      <x:c r="Z51" s="339"/>
    </x:row>
    <x:row r="52">
      <x:c r="A52" s="373" t="str">
        <x:v>Governance, assurance &amp; reporting subtotal</x:v>
      </x:c>
      <x:c r="B52" s="373"/>
      <x:c r="C52" s="373"/>
      <x:c r="D52" s="417"/>
      <x:c r="E52" s="417"/>
      <x:c r="F52" s="417"/>
      <x:c r="G52" s="418"/>
      <x:c r="H52" s="419"/>
      <x:c r="I52" s="420" t="n">
        <x:f>SUM(I48:I51)</x:f>
        <x:v>1700000</x:v>
      </x:c>
      <x:c r="J52" s="420" t="n">
        <x:f>SUM(J48:J51)</x:f>
        <x:v>1700000</x:v>
      </x:c>
      <x:c r="K52" s="420" t="n">
        <x:f>SUM(K48:K51)</x:f>
        <x:v>1700000</x:v>
      </x:c>
      <x:c r="L52" s="420" t="n">
        <x:f>SUM(L48:L51)</x:f>
        <x:v>5100000</x:v>
      </x:c>
      <x:c r="M52" s="373"/>
      <x:c r="N52" s="373"/>
      <x:c r="O52" s="339"/>
      <x:c r="P52" s="339"/>
      <x:c r="Q52" s="339"/>
      <x:c r="R52" s="339"/>
      <x:c r="S52" s="339"/>
      <x:c r="T52" s="339"/>
      <x:c r="U52" s="1194"/>
      <x:c r="V52" s="1194"/>
      <x:c r="W52" s="1194"/>
      <x:c r="X52" s="1194"/>
      <x:c r="Y52" s="339"/>
      <x:c r="Z52" s="339"/>
    </x:row>
    <x:row r="53">
      <x:c r="A53" s="28"/>
      <x:c r="B53" s="28"/>
      <x:c r="C53" s="28"/>
      <x:c r="D53" s="32"/>
      <x:c r="E53" s="32"/>
      <x:c r="F53" s="32"/>
      <x:c r="G53" s="421"/>
      <x:c r="H53" s="422"/>
      <x:c r="I53" s="423"/>
      <x:c r="J53" s="423"/>
      <x:c r="K53" s="423"/>
      <x:c r="L53" s="423"/>
      <x:c r="M53" s="28"/>
      <x:c r="N53" s="28"/>
      <x:c r="O53" s="339"/>
      <x:c r="P53" s="339"/>
      <x:c r="Q53" s="339"/>
      <x:c r="R53" s="339"/>
      <x:c r="S53" s="339"/>
      <x:c r="T53" s="339"/>
      <x:c r="U53" s="1194"/>
      <x:c r="V53" s="1194"/>
      <x:c r="W53" s="1194"/>
      <x:c r="X53" s="1194"/>
      <x:c r="Y53" s="339"/>
      <x:c r="Z53" s="339"/>
    </x:row>
    <x:row r="54">
      <x:c r="A54" s="379" t="str">
        <x:v>Non-stipend subtotal before contingency</x:v>
      </x:c>
      <x:c r="B54" s="379"/>
      <x:c r="C54" s="379"/>
      <x:c r="D54" s="424"/>
      <x:c r="E54" s="424"/>
      <x:c r="F54" s="424"/>
      <x:c r="G54" s="425"/>
      <x:c r="H54" s="426"/>
      <x:c r="I54" s="427" t="n">
        <x:f>I25+I33+I39+I45+I52</x:f>
        <x:v>15827932.74</x:v>
      </x:c>
      <x:c r="J54" s="427" t="n">
        <x:f>J25+J33+J39+J45+J52</x:f>
        <x:v>13787296.49</x:v>
      </x:c>
      <x:c r="K54" s="427" t="n">
        <x:f>K25+K33+K39+K45+K52</x:f>
        <x:v>14562522.115</x:v>
      </x:c>
      <x:c r="L54" s="427" t="n">
        <x:f>L25+L33+L39+L45+L52</x:f>
        <x:v>44177751.345</x:v>
      </x:c>
      <x:c r="M54" s="379"/>
      <x:c r="N54" s="379"/>
      <x:c r="O54" s="339"/>
      <x:c r="P54" s="339"/>
      <x:c r="Q54" s="339"/>
      <x:c r="R54" s="339"/>
      <x:c r="S54" s="339"/>
      <x:c r="T54" s="339"/>
      <x:c r="U54" s="1194"/>
      <x:c r="V54" s="1194"/>
      <x:c r="W54" s="1194"/>
      <x:c r="X54" s="1194"/>
      <x:c r="Y54" s="339"/>
      <x:c r="Z54" s="339"/>
    </x:row>
    <x:row r="55">
      <x:c r="A55" s="373" t="str">
        <x:v>Contingency on non-stipend costs</x:v>
      </x:c>
      <x:c r="B55" s="373"/>
      <x:c r="C55" s="373"/>
      <x:c r="D55" s="417"/>
      <x:c r="E55" s="417"/>
      <x:c r="F55" s="417"/>
      <x:c r="G55" s="418"/>
      <x:c r="H55" s="419"/>
      <x:c r="I55" s="420" t="n">
        <x:f>I54*Assumptions!$E$12</x:f>
        <x:v>1978491.5925</x:v>
      </x:c>
      <x:c r="J55" s="420" t="n">
        <x:f>J54*Assumptions!$E$12</x:f>
        <x:v>1723412.06125</x:v>
      </x:c>
      <x:c r="K55" s="420" t="n">
        <x:f>K54*Assumptions!$E$12</x:f>
        <x:v>1820315.264375</x:v>
      </x:c>
      <x:c r="L55" s="420" t="n">
        <x:f>SUM(I55:K55)</x:f>
        <x:v>5522218.918125</x:v>
      </x:c>
      <x:c r="M55" s="373"/>
      <x:c r="N55" s="373"/>
      <x:c r="O55" s="339"/>
      <x:c r="P55" s="339"/>
      <x:c r="Q55" s="339"/>
      <x:c r="R55" s="339"/>
      <x:c r="S55" s="339"/>
      <x:c r="T55" s="339"/>
      <x:c r="U55" s="1194"/>
      <x:c r="V55" s="1194"/>
      <x:c r="W55" s="1194"/>
      <x:c r="X55" s="1194"/>
      <x:c r="Y55" s="339"/>
      <x:c r="Z55" s="339"/>
    </x:row>
    <x:row r="56">
      <x:c r="A56" s="383" t="str">
        <x:v>STAGE 1 — TOTAL THREE-YEAR PILOT COST</x:v>
      </x:c>
      <x:c r="B56" s="383"/>
      <x:c r="C56" s="383"/>
      <x:c r="D56" s="428"/>
      <x:c r="E56" s="428"/>
      <x:c r="F56" s="428"/>
      <x:c r="G56" s="429"/>
      <x:c r="H56" s="430"/>
      <x:c r="I56" s="431" t="n">
        <x:f>I16+I54+I55</x:f>
        <x:v>31666424.332500003</x:v>
      </x:c>
      <x:c r="J56" s="431" t="n">
        <x:f>J16+J54+J55</x:f>
        <x:v>31890708.551250003</x:v>
      </x:c>
      <x:c r="K56" s="431" t="n">
        <x:f>K16+K54+K55</x:f>
        <x:v>34022837.379375</x:v>
      </x:c>
      <x:c r="L56" s="431" t="n">
        <x:f>SUM(I56:K56)</x:f>
        <x:v>97579970.263125</x:v>
      </x:c>
      <x:c r="M56" s="383"/>
      <x:c r="N56" s="383"/>
      <x:c r="O56" s="339"/>
      <x:c r="P56" s="339"/>
      <x:c r="Q56" s="339"/>
      <x:c r="R56" s="339"/>
      <x:c r="S56" s="339"/>
      <x:c r="T56" s="339"/>
      <x:c r="U56" s="1194"/>
      <x:c r="V56" s="1194"/>
      <x:c r="W56" s="1194"/>
      <x:c r="X56" s="1194"/>
      <x:c r="Y56" s="339"/>
      <x:c r="Z56" s="339"/>
    </x:row>
    <x:row r="57">
      <x:c r="A57" s="339"/>
      <x:c r="B57" s="339"/>
      <x:c r="C57" s="339"/>
      <x:c r="D57" s="339"/>
      <x:c r="E57" s="339"/>
      <x:c r="F57" s="339"/>
      <x:c r="G57" s="339"/>
      <x:c r="H57" s="339"/>
      <x:c r="I57" s="339"/>
      <x:c r="J57" s="339"/>
      <x:c r="K57" s="339"/>
      <x:c r="L57" s="339"/>
      <x:c r="M57" s="339"/>
      <x:c r="N57" s="339"/>
      <x:c r="O57" s="339"/>
      <x:c r="P57" s="339"/>
      <x:c r="Q57" s="339"/>
      <x:c r="R57" s="339"/>
      <x:c r="S57" s="339"/>
      <x:c r="T57" s="339"/>
      <x:c r="U57" s="1194"/>
      <x:c r="V57" s="1194"/>
      <x:c r="W57" s="1194"/>
      <x:c r="X57" s="1194"/>
      <x:c r="Y57" s="339"/>
      <x:c r="Z57" s="339"/>
    </x:row>
    <x:row r="58">
      <x:c r="A58" s="339"/>
      <x:c r="B58" s="339"/>
      <x:c r="C58" s="339"/>
      <x:c r="D58" s="339"/>
      <x:c r="E58" s="339"/>
      <x:c r="F58" s="339"/>
      <x:c r="G58" s="339"/>
      <x:c r="H58" s="339"/>
      <x:c r="I58" s="339"/>
      <x:c r="J58" s="339"/>
      <x:c r="K58" s="339"/>
      <x:c r="L58" s="339"/>
      <x:c r="M58" s="339"/>
      <x:c r="N58" s="339"/>
      <x:c r="O58" s="339"/>
      <x:c r="P58" s="339"/>
      <x:c r="Q58" s="339"/>
      <x:c r="R58" s="339"/>
      <x:c r="S58" s="339"/>
      <x:c r="T58" s="339"/>
      <x:c r="U58" s="1194"/>
      <x:c r="V58" s="1194"/>
      <x:c r="W58" s="1194"/>
      <x:c r="X58" s="1194"/>
      <x:c r="Y58" s="339"/>
      <x:c r="Z58" s="339"/>
    </x:row>
    <x:row r="59" ht="23" customHeight="1">
      <x:c r="A59" s="905" t="str">
        <x:v>Pilot economic outcome scorecard — no effect is assumed before independent evaluation</x:v>
      </x:c>
      <x:c r="B59" s="905"/>
      <x:c r="C59" s="905"/>
      <x:c r="D59" s="905"/>
      <x:c r="E59" s="905"/>
      <x:c r="F59" s="905"/>
      <x:c r="G59" s="905"/>
      <x:c r="H59" s="905"/>
      <x:c r="I59" s="905"/>
      <x:c r="J59" s="905"/>
      <x:c r="K59" s="905"/>
      <x:c r="L59" s="905"/>
      <x:c r="M59" s="905"/>
      <x:c r="N59" s="905"/>
      <x:c r="O59" s="339"/>
      <x:c r="P59" s="339"/>
      <x:c r="Q59" s="339"/>
      <x:c r="R59" s="339"/>
      <x:c r="S59" s="339"/>
      <x:c r="T59" s="339"/>
      <x:c r="U59" s="1194"/>
      <x:c r="V59" s="1194"/>
      <x:c r="W59" s="1194"/>
      <x:c r="X59" s="1194"/>
      <x:c r="Y59" s="339"/>
      <x:c r="Z59" s="339"/>
    </x:row>
    <x:row r="60" ht="30" customHeight="1">
      <x:c r="A60" s="909" t="str">
        <x:v>Outcome family</x:v>
      </x:c>
      <x:c r="B60" s="909" t="str">
        <x:v>Pilot measure</x:v>
      </x:c>
      <x:c r="C60" s="909" t="str">
        <x:v>Counterfactual</x:v>
      </x:c>
      <x:c r="D60" s="909" t="str">
        <x:v>Causal estimator</x:v>
      </x:c>
      <x:c r="E60" s="909" t="str">
        <x:v>Timing</x:v>
      </x:c>
      <x:c r="F60" s="909" t="str">
        <x:v>Cost-per-outcome output</x:v>
      </x:c>
      <x:c r="G60" s="909" t="str">
        <x:v>Equity cut</x:v>
      </x:c>
      <x:c r="H60" s="909" t="str">
        <x:v>Workload / harm measure</x:v>
      </x:c>
      <x:c r="I60" s="909" t="str">
        <x:v>Long-run linkage</x:v>
      </x:c>
      <x:c r="J60" s="909" t="str">
        <x:v>Decision threshold</x:v>
      </x:c>
      <x:c r="K60" s="909" t="str">
        <x:v>Current status</x:v>
      </x:c>
      <x:c r="L60" s="909" t="str">
        <x:v>Owner</x:v>
      </x:c>
      <x:c r="M60" s="909" t="str">
        <x:v>Source ID</x:v>
      </x:c>
      <x:c r="N60" s="909" t="str">
        <x:v>Interpretation</x:v>
      </x:c>
      <x:c r="O60" s="339"/>
      <x:c r="P60" s="339"/>
      <x:c r="Q60" s="339"/>
      <x:c r="R60" s="339"/>
      <x:c r="S60" s="339"/>
      <x:c r="T60" s="339"/>
      <x:c r="U60" s="1194"/>
      <x:c r="V60" s="1194"/>
      <x:c r="W60" s="1194"/>
      <x:c r="X60" s="1194"/>
      <x:c r="Y60" s="339"/>
      <x:c r="Z60" s="339"/>
    </x:row>
    <x:row r="61" ht="44" customHeight="1">
      <x:c r="A61" s="28" t="str">
        <x:v>Whole-cohort capability</x:v>
      </x:c>
      <x:c r="B61" s="28" t="str">
        <x:v>Attendance, Level 2, Level 3 and engagement</x:v>
      </x:c>
      <x:c r="C61" s="28" t="str">
        <x:v>Matched / randomised comparison</x:v>
      </x:c>
      <x:c r="D61" s="28" t="str">
        <x:v>Pre-registered difference-in-differences or randomised design</x:v>
      </x:c>
      <x:c r="E61" s="28" t="str">
        <x:v>During school</x:v>
      </x:c>
      <x:c r="F61" s="28" t="str">
        <x:v>Cost per additional attendee and qualification</x:v>
      </x:c>
      <x:c r="G61" s="28" t="str">
        <x:v>Māori, Pacific, disability, deprivation, gender</x:v>
      </x:c>
      <x:c r="H61" s="28" t="str">
        <x:v>Teacher and coordinator hours; gaming</x:v>
      </x:c>
      <x:c r="I61" s="28" t="str">
        <x:v>Education linkage</x:v>
      </x:c>
      <x:c r="J61" s="28" t="str">
        <x:v>Stage-Gate Tests</x:v>
      </x:c>
      <x:c r="K61" s="994" t="str">
        <x:v>NOT TESTED</x:v>
      </x:c>
      <x:c r="L61" s="28" t="str">
        <x:v>Independent evaluator</x:v>
      </x:c>
      <x:c r="M61" s="28" t="str">
        <x:v>S35–S37;A18</x:v>
      </x:c>
      <x:c r="N61" s="28" t="str">
        <x:v>Mechanism and early outcome</x:v>
      </x:c>
      <x:c r="O61" s="339"/>
      <x:c r="P61" s="339"/>
      <x:c r="Q61" s="339"/>
      <x:c r="R61" s="339"/>
      <x:c r="S61" s="339"/>
      <x:c r="T61" s="339"/>
      <x:c r="U61" s="1194"/>
      <x:c r="V61" s="1194"/>
      <x:c r="W61" s="1194"/>
      <x:c r="X61" s="1194"/>
      <x:c r="Y61" s="339"/>
      <x:c r="Z61" s="339"/>
    </x:row>
    <x:row r="62" ht="44" customHeight="1">
      <x:c r="A62" s="28" t="str">
        <x:v>Pathway transition</x:v>
      </x:c>
      <x:c r="B62" s="28" t="str">
        <x:v>Tertiary, vocational, apprenticeship and employment entry</x:v>
      </x:c>
      <x:c r="C62" s="28" t="str">
        <x:v>Comparison cohort</x:v>
      </x:c>
      <x:c r="D62" s="28" t="str">
        <x:v>Pre-registered causal model</x:v>
      </x:c>
      <x:c r="E62" s="28" t="str">
        <x:v>Years 1–4 after school</x:v>
      </x:c>
      <x:c r="F62" s="28" t="str">
        <x:v>Cost per successful transition</x:v>
      </x:c>
      <x:c r="G62" s="28" t="str">
        <x:v>Priority-group transition effect</x:v>
      </x:c>
      <x:c r="H62" s="28" t="str">
        <x:v>Provider capacity and regional mismatch</x:v>
      </x:c>
      <x:c r="I62" s="28" t="str">
        <x:v>Education / employment linkage</x:v>
      </x:c>
      <x:c r="J62" s="28" t="str">
        <x:v>Stage-Gate Tests</x:v>
      </x:c>
      <x:c r="K62" s="994" t="str">
        <x:v>NOT TESTED</x:v>
      </x:c>
      <x:c r="L62" s="28" t="str">
        <x:v>Independent evaluator</x:v>
      </x:c>
      <x:c r="M62" s="28" t="str">
        <x:v>S38–S40</x:v>
      </x:c>
      <x:c r="N62" s="28" t="str">
        <x:v>Entry is not completion</x:v>
      </x:c>
      <x:c r="O62" s="339"/>
      <x:c r="P62" s="339"/>
      <x:c r="Q62" s="339"/>
      <x:c r="R62" s="339"/>
      <x:c r="S62" s="339"/>
      <x:c r="T62" s="339"/>
      <x:c r="U62" s="1194"/>
      <x:c r="V62" s="1194"/>
      <x:c r="W62" s="1194"/>
      <x:c r="X62" s="1194"/>
      <x:c r="Y62" s="339"/>
      <x:c r="Z62" s="339"/>
    </x:row>
    <x:row r="63" ht="44" customHeight="1">
      <x:c r="A63" s="28" t="str">
        <x:v>Completion and continuity</x:v>
      </x:c>
      <x:c r="B63" s="28" t="str">
        <x:v>Qualification completion and sustained employment</x:v>
      </x:c>
      <x:c r="C63" s="28" t="str">
        <x:v>Comparison cohort</x:v>
      </x:c>
      <x:c r="D63" s="28" t="str">
        <x:v>Linked longitudinal outcome model</x:v>
      </x:c>
      <x:c r="E63" s="28" t="str">
        <x:v>Years 4–10</x:v>
      </x:c>
      <x:c r="F63" s="28" t="str">
        <x:v>Cost per completion</x:v>
      </x:c>
      <x:c r="G63" s="28" t="str">
        <x:v>Priority-group completion effect</x:v>
      </x:c>
      <x:c r="H63" s="28" t="str">
        <x:v>Occupation oversupply and wage effects</x:v>
      </x:c>
      <x:c r="I63" s="28" t="str">
        <x:v>Education / IR / MSD linkage</x:v>
      </x:c>
      <x:c r="J63" s="28" t="str">
        <x:v>Stage-Gate Tests</x:v>
      </x:c>
      <x:c r="K63" s="994" t="str">
        <x:v>NOT TESTED</x:v>
      </x:c>
      <x:c r="L63" s="28" t="str">
        <x:v>Independent evaluator</x:v>
      </x:c>
      <x:c r="M63" s="28" t="str">
        <x:v>S38–S45</x:v>
      </x:c>
      <x:c r="N63" s="28" t="str">
        <x:v>Core long-run evidence</x:v>
      </x:c>
      <x:c r="O63" s="339"/>
      <x:c r="P63" s="339"/>
      <x:c r="Q63" s="339"/>
      <x:c r="R63" s="339"/>
      <x:c r="S63" s="339"/>
      <x:c r="T63" s="339"/>
      <x:c r="U63" s="1194"/>
      <x:c r="V63" s="1194"/>
      <x:c r="W63" s="1194"/>
      <x:c r="X63" s="1194"/>
      <x:c r="Y63" s="339"/>
      <x:c r="Z63" s="339"/>
    </x:row>
    <x:row r="64" ht="44" customHeight="1">
      <x:c r="A64" s="28" t="str">
        <x:v>Earnings and fiscal effects</x:v>
      </x:c>
      <x:c r="B64" s="28" t="str">
        <x:v>Real earnings, tax, ACC, benefits and loan displacement</x:v>
      </x:c>
      <x:c r="C64" s="28" t="str">
        <x:v>Comparison cohort</x:v>
      </x:c>
      <x:c r="D64" s="28" t="str">
        <x:v>Linked-data earnings and fiscal model</x:v>
      </x:c>
      <x:c r="E64" s="28" t="str">
        <x:v>Years 3–15+</x:v>
      </x:c>
      <x:c r="F64" s="28" t="str">
        <x:v>PV, BCR and fiscal coverage</x:v>
      </x:c>
      <x:c r="G64" s="28" t="str">
        <x:v>Distribution of gains and losses</x:v>
      </x:c>
      <x:c r="H64" s="28" t="str">
        <x:v>Migration, substitution and automation</x:v>
      </x:c>
      <x:c r="I64" s="28" t="str">
        <x:v>IR / MSD / Student Loan data</x:v>
      </x:c>
      <x:c r="J64" s="28" t="str">
        <x:v>Stage-Gate Tests</x:v>
      </x:c>
      <x:c r="K64" s="994" t="str">
        <x:v>NOT TESTED</x:v>
      </x:c>
      <x:c r="L64" s="28" t="str">
        <x:v>Treasury / evaluator</x:v>
      </x:c>
      <x:c r="M64" s="28" t="str">
        <x:v>S24;S34;S42;S43</x:v>
      </x:c>
      <x:c r="N64" s="28" t="str">
        <x:v>No gross earnings counted as Crown saving</x:v>
      </x:c>
      <x:c r="O64" s="339"/>
      <x:c r="P64" s="339"/>
      <x:c r="Q64" s="339"/>
      <x:c r="R64" s="339"/>
      <x:c r="S64" s="339"/>
      <x:c r="T64" s="339"/>
      <x:c r="U64" s="1194"/>
      <x:c r="V64" s="1194"/>
      <x:c r="W64" s="1194"/>
      <x:c r="X64" s="1194"/>
      <x:c r="Y64" s="339"/>
      <x:c r="Z64" s="339"/>
    </x:row>
    <x:row r="65">
      <x:c r="A65" s="339"/>
      <x:c r="B65" s="339"/>
      <x:c r="C65" s="339"/>
      <x:c r="D65" s="339"/>
      <x:c r="E65" s="339"/>
      <x:c r="F65" s="339"/>
      <x:c r="G65" s="339"/>
      <x:c r="H65" s="339"/>
      <x:c r="I65" s="339"/>
      <x:c r="J65" s="339"/>
      <x:c r="K65" s="339"/>
      <x:c r="L65" s="339"/>
      <x:c r="M65" s="339"/>
      <x:c r="N65" s="339"/>
      <x:c r="O65" s="339"/>
      <x:c r="P65" s="339"/>
      <x:c r="Q65" s="339"/>
      <x:c r="R65" s="339"/>
      <x:c r="S65" s="339"/>
      <x:c r="T65" s="339"/>
      <x:c r="U65" s="1194"/>
      <x:c r="V65" s="1194"/>
      <x:c r="W65" s="1194"/>
      <x:c r="X65" s="1194"/>
      <x:c r="Y65" s="339"/>
      <x:c r="Z65" s="339"/>
    </x:row>
    <x:row r="66">
      <x:c r="A66" s="339"/>
      <x:c r="B66" s="339"/>
      <x:c r="C66" s="339"/>
      <x:c r="D66" s="339"/>
      <x:c r="E66" s="339"/>
      <x:c r="F66" s="339"/>
      <x:c r="G66" s="339"/>
      <x:c r="H66" s="339"/>
      <x:c r="I66" s="339"/>
      <x:c r="J66" s="339"/>
      <x:c r="K66" s="339"/>
      <x:c r="L66" s="339"/>
      <x:c r="M66" s="339"/>
      <x:c r="N66" s="339"/>
      <x:c r="O66" s="339"/>
      <x:c r="P66" s="339"/>
      <x:c r="Q66" s="339"/>
      <x:c r="R66" s="339"/>
      <x:c r="S66" s="339"/>
      <x:c r="T66" s="339"/>
      <x:c r="U66" s="1194"/>
      <x:c r="V66" s="1194"/>
      <x:c r="W66" s="1194"/>
      <x:c r="X66" s="1194"/>
      <x:c r="Y66" s="339"/>
      <x:c r="Z66" s="339"/>
    </x:row>
    <x:row r="67">
      <x:c r="A67" s="339"/>
      <x:c r="B67" s="339"/>
      <x:c r="C67" s="339"/>
      <x:c r="D67" s="339"/>
      <x:c r="E67" s="339"/>
      <x:c r="F67" s="339"/>
      <x:c r="G67" s="339"/>
      <x:c r="H67" s="339"/>
      <x:c r="I67" s="339"/>
      <x:c r="J67" s="339"/>
      <x:c r="K67" s="339"/>
      <x:c r="L67" s="339"/>
      <x:c r="M67" s="339"/>
      <x:c r="N67" s="339"/>
      <x:c r="O67" s="339"/>
      <x:c r="P67" s="339"/>
      <x:c r="Q67" s="339"/>
      <x:c r="R67" s="339"/>
      <x:c r="S67" s="339"/>
      <x:c r="T67" s="339"/>
      <x:c r="U67" s="1194"/>
      <x:c r="V67" s="1194"/>
      <x:c r="W67" s="1194"/>
      <x:c r="X67" s="1194"/>
      <x:c r="Y67" s="339"/>
      <x:c r="Z67" s="339"/>
    </x:row>
    <x:row r="68">
      <x:c r="A68" s="339"/>
      <x:c r="B68" s="339"/>
      <x:c r="C68" s="339"/>
      <x:c r="D68" s="339"/>
      <x:c r="E68" s="339"/>
      <x:c r="F68" s="339"/>
      <x:c r="G68" s="339"/>
      <x:c r="H68" s="339"/>
      <x:c r="I68" s="339"/>
      <x:c r="J68" s="339"/>
      <x:c r="K68" s="339"/>
      <x:c r="L68" s="339"/>
      <x:c r="M68" s="339"/>
      <x:c r="N68" s="339"/>
      <x:c r="O68" s="339"/>
      <x:c r="P68" s="339"/>
      <x:c r="Q68" s="339"/>
      <x:c r="R68" s="339"/>
      <x:c r="S68" s="339"/>
      <x:c r="T68" s="339"/>
      <x:c r="U68" s="1194"/>
      <x:c r="V68" s="1194"/>
      <x:c r="W68" s="1194"/>
      <x:c r="X68" s="1194"/>
      <x:c r="Y68" s="339"/>
      <x:c r="Z68" s="339"/>
    </x:row>
    <x:row r="69">
      <x:c r="A69" s="339"/>
      <x:c r="B69" s="339"/>
      <x:c r="C69" s="339"/>
      <x:c r="D69" s="339"/>
      <x:c r="E69" s="339"/>
      <x:c r="F69" s="339"/>
      <x:c r="G69" s="339"/>
      <x:c r="H69" s="339"/>
      <x:c r="I69" s="339"/>
      <x:c r="J69" s="339"/>
      <x:c r="K69" s="339"/>
      <x:c r="L69" s="339"/>
      <x:c r="M69" s="339"/>
      <x:c r="N69" s="339"/>
      <x:c r="O69" s="339"/>
      <x:c r="P69" s="339"/>
      <x:c r="Q69" s="339"/>
      <x:c r="R69" s="339"/>
      <x:c r="S69" s="339"/>
      <x:c r="T69" s="339"/>
      <x:c r="U69" s="1194"/>
      <x:c r="V69" s="1194"/>
      <x:c r="W69" s="1194"/>
      <x:c r="X69" s="1194"/>
      <x:c r="Y69" s="339"/>
      <x:c r="Z69" s="339"/>
    </x:row>
    <x:row r="70">
      <x:c r="A70" s="339"/>
      <x:c r="B70" s="339"/>
      <x:c r="C70" s="339"/>
      <x:c r="D70" s="339"/>
      <x:c r="E70" s="339"/>
      <x:c r="F70" s="339"/>
      <x:c r="G70" s="339"/>
      <x:c r="H70" s="339"/>
      <x:c r="I70" s="339"/>
      <x:c r="J70" s="339"/>
      <x:c r="K70" s="339"/>
      <x:c r="L70" s="339"/>
      <x:c r="M70" s="339"/>
      <x:c r="N70" s="339"/>
      <x:c r="O70" s="339"/>
      <x:c r="P70" s="339"/>
      <x:c r="Q70" s="339"/>
      <x:c r="R70" s="339"/>
      <x:c r="S70" s="339"/>
      <x:c r="T70" s="339"/>
      <x:c r="U70" s="1194"/>
      <x:c r="V70" s="1194"/>
      <x:c r="W70" s="1194"/>
      <x:c r="X70" s="1194"/>
      <x:c r="Y70" s="339"/>
      <x:c r="Z70" s="339"/>
    </x:row>
    <x:row r="71">
      <x:c r="A71" s="339"/>
      <x:c r="B71" s="339"/>
      <x:c r="C71" s="339"/>
      <x:c r="D71" s="339"/>
      <x:c r="E71" s="339"/>
      <x:c r="F71" s="339"/>
      <x:c r="G71" s="339"/>
      <x:c r="H71" s="339"/>
      <x:c r="I71" s="339"/>
      <x:c r="J71" s="339"/>
      <x:c r="K71" s="339"/>
      <x:c r="L71" s="339"/>
      <x:c r="M71" s="339"/>
      <x:c r="N71" s="339"/>
      <x:c r="O71" s="339"/>
      <x:c r="P71" s="339"/>
      <x:c r="Q71" s="339"/>
      <x:c r="R71" s="339"/>
      <x:c r="S71" s="339"/>
      <x:c r="T71" s="339"/>
      <x:c r="U71" s="1194"/>
      <x:c r="V71" s="1194"/>
      <x:c r="W71" s="1194"/>
      <x:c r="X71" s="1194"/>
      <x:c r="Y71" s="339"/>
      <x:c r="Z71" s="339"/>
    </x:row>
    <x:row r="72">
      <x:c r="A72" s="339"/>
      <x:c r="B72" s="339"/>
      <x:c r="C72" s="339"/>
      <x:c r="D72" s="339"/>
      <x:c r="E72" s="339"/>
      <x:c r="F72" s="339"/>
      <x:c r="G72" s="339"/>
      <x:c r="H72" s="339"/>
      <x:c r="I72" s="339"/>
      <x:c r="J72" s="339"/>
      <x:c r="K72" s="339"/>
      <x:c r="L72" s="339"/>
      <x:c r="M72" s="339"/>
      <x:c r="N72" s="339"/>
      <x:c r="O72" s="339"/>
      <x:c r="P72" s="339"/>
      <x:c r="Q72" s="339"/>
      <x:c r="R72" s="339"/>
      <x:c r="S72" s="339"/>
      <x:c r="T72" s="339"/>
      <x:c r="U72" s="1194"/>
      <x:c r="V72" s="1194"/>
      <x:c r="W72" s="1194"/>
      <x:c r="X72" s="1194"/>
      <x:c r="Y72" s="339"/>
      <x:c r="Z72" s="339"/>
    </x:row>
    <x:row r="73">
      <x:c r="A73" s="339"/>
      <x:c r="B73" s="339"/>
      <x:c r="C73" s="339"/>
      <x:c r="D73" s="339"/>
      <x:c r="E73" s="339"/>
      <x:c r="F73" s="339"/>
      <x:c r="G73" s="339"/>
      <x:c r="H73" s="339"/>
      <x:c r="I73" s="339"/>
      <x:c r="J73" s="339"/>
      <x:c r="K73" s="339"/>
      <x:c r="L73" s="339"/>
      <x:c r="M73" s="339"/>
      <x:c r="N73" s="339"/>
      <x:c r="O73" s="339"/>
      <x:c r="P73" s="339"/>
      <x:c r="Q73" s="339"/>
      <x:c r="R73" s="339"/>
      <x:c r="S73" s="339"/>
      <x:c r="T73" s="339"/>
      <x:c r="U73" s="1194"/>
      <x:c r="V73" s="1194"/>
      <x:c r="W73" s="1194"/>
      <x:c r="X73" s="1194"/>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1194"/>
      <x:c r="V74" s="1194"/>
      <x:c r="W74" s="1194"/>
      <x:c r="X74" s="1194"/>
      <x:c r="Y74" s="339"/>
      <x:c r="Z74" s="339"/>
    </x:row>
    <x:row r="75">
      <x:c r="A75" s="339"/>
      <x:c r="B75" s="339"/>
      <x:c r="C75" s="339"/>
      <x:c r="D75" s="339"/>
      <x:c r="E75" s="339"/>
      <x:c r="F75" s="339"/>
      <x:c r="G75" s="339"/>
      <x:c r="H75" s="339"/>
      <x:c r="I75" s="339"/>
      <x:c r="J75" s="339"/>
      <x:c r="K75" s="339"/>
      <x:c r="L75" s="339"/>
      <x:c r="M75" s="339"/>
      <x:c r="N75" s="339"/>
      <x:c r="O75" s="339"/>
      <x:c r="P75" s="339"/>
      <x:c r="Q75" s="339"/>
      <x:c r="R75" s="339"/>
      <x:c r="S75" s="339"/>
      <x:c r="T75" s="339"/>
      <x:c r="U75" s="1194"/>
      <x:c r="V75" s="1194"/>
      <x:c r="W75" s="1194"/>
      <x:c r="X75" s="1194"/>
      <x:c r="Y75" s="339"/>
      <x:c r="Z75" s="339"/>
    </x:row>
    <x:row r="76">
      <x:c r="A76" s="339"/>
      <x:c r="B76" s="339"/>
      <x:c r="C76" s="339"/>
      <x:c r="D76" s="339"/>
      <x:c r="E76" s="339"/>
      <x:c r="F76" s="339"/>
      <x:c r="G76" s="339"/>
      <x:c r="H76" s="339"/>
      <x:c r="I76" s="339"/>
      <x:c r="J76" s="339"/>
      <x:c r="K76" s="339"/>
      <x:c r="L76" s="339"/>
      <x:c r="M76" s="339"/>
      <x:c r="N76" s="339"/>
      <x:c r="O76" s="339"/>
      <x:c r="P76" s="339"/>
      <x:c r="Q76" s="339"/>
      <x:c r="R76" s="339"/>
      <x:c r="S76" s="339"/>
      <x:c r="T76" s="339"/>
      <x:c r="U76" s="1194"/>
      <x:c r="V76" s="1194"/>
      <x:c r="W76" s="1194"/>
      <x:c r="X76" s="1194"/>
      <x:c r="Y76" s="339"/>
      <x:c r="Z76" s="339"/>
    </x:row>
    <x:row r="77">
      <x:c r="A77" s="339"/>
      <x:c r="B77" s="339"/>
      <x:c r="C77" s="339"/>
      <x:c r="D77" s="339"/>
      <x:c r="E77" s="339"/>
      <x:c r="F77" s="339"/>
      <x:c r="G77" s="339"/>
      <x:c r="H77" s="339"/>
      <x:c r="I77" s="339"/>
      <x:c r="J77" s="339"/>
      <x:c r="K77" s="339"/>
      <x:c r="L77" s="339"/>
      <x:c r="M77" s="339"/>
      <x:c r="N77" s="339"/>
      <x:c r="O77" s="339"/>
      <x:c r="P77" s="339"/>
      <x:c r="Q77" s="339"/>
      <x:c r="R77" s="339"/>
      <x:c r="S77" s="339"/>
      <x:c r="T77" s="339"/>
      <x:c r="U77" s="1194"/>
      <x:c r="V77" s="1194"/>
      <x:c r="W77" s="1194"/>
      <x:c r="X77" s="1194"/>
      <x:c r="Y77" s="339"/>
      <x:c r="Z77" s="339"/>
    </x:row>
    <x:row r="78">
      <x:c r="A78" s="339"/>
      <x:c r="B78" s="339"/>
      <x:c r="C78" s="339"/>
      <x:c r="D78" s="339"/>
      <x:c r="E78" s="339"/>
      <x:c r="F78" s="339"/>
      <x:c r="G78" s="339"/>
      <x:c r="H78" s="339"/>
      <x:c r="I78" s="339"/>
      <x:c r="J78" s="339"/>
      <x:c r="K78" s="339"/>
      <x:c r="L78" s="339"/>
      <x:c r="M78" s="339"/>
      <x:c r="N78" s="339"/>
      <x:c r="O78" s="339"/>
      <x:c r="P78" s="339"/>
      <x:c r="Q78" s="339"/>
      <x:c r="R78" s="339"/>
      <x:c r="S78" s="339"/>
      <x:c r="T78" s="339"/>
      <x:c r="U78" s="1194"/>
      <x:c r="V78" s="1194"/>
      <x:c r="W78" s="1194"/>
      <x:c r="X78" s="1194"/>
      <x:c r="Y78" s="339"/>
      <x:c r="Z78" s="339"/>
    </x:row>
    <x:row r="79">
      <x:c r="A79" s="339"/>
      <x:c r="B79" s="339"/>
      <x:c r="C79" s="339"/>
      <x:c r="D79" s="339"/>
      <x:c r="E79" s="339"/>
      <x:c r="F79" s="339"/>
      <x:c r="G79" s="339"/>
      <x:c r="H79" s="339"/>
      <x:c r="I79" s="339"/>
      <x:c r="J79" s="339"/>
      <x:c r="K79" s="339"/>
      <x:c r="L79" s="339"/>
      <x:c r="M79" s="339"/>
      <x:c r="N79" s="339"/>
      <x:c r="O79" s="339"/>
      <x:c r="P79" s="339"/>
      <x:c r="Q79" s="339"/>
      <x:c r="R79" s="339"/>
      <x:c r="S79" s="339"/>
      <x:c r="T79" s="339"/>
      <x:c r="U79" s="1194"/>
      <x:c r="V79" s="1194"/>
      <x:c r="W79" s="1194"/>
      <x:c r="X79" s="1194"/>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1194"/>
      <x:c r="V80" s="1194"/>
      <x:c r="W80" s="1194"/>
      <x:c r="X80" s="1194"/>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1194"/>
      <x:c r="V81" s="1194"/>
      <x:c r="W81" s="1194"/>
      <x:c r="X81" s="1194"/>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1194"/>
      <x:c r="V82" s="1194"/>
      <x:c r="W82" s="1194"/>
      <x:c r="X82" s="1194"/>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1194"/>
      <x:c r="V83" s="1194"/>
      <x:c r="W83" s="1194"/>
      <x:c r="X83" s="1194"/>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1194"/>
      <x:c r="V84" s="1194"/>
      <x:c r="W84" s="1194"/>
      <x:c r="X84" s="1194"/>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1194"/>
      <x:c r="V85" s="1194"/>
      <x:c r="W85" s="1194"/>
      <x:c r="X85" s="1194"/>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1194"/>
      <x:c r="V86" s="1194"/>
      <x:c r="W86" s="1194"/>
      <x:c r="X86" s="1194"/>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1194"/>
      <x:c r="V87" s="1194"/>
      <x:c r="W87" s="1194"/>
      <x:c r="X87" s="1194"/>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1194"/>
      <x:c r="V88" s="1194"/>
      <x:c r="W88" s="1194"/>
      <x:c r="X88" s="1194"/>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1194"/>
      <x:c r="V89" s="1194"/>
      <x:c r="W89" s="1194"/>
      <x:c r="X89" s="1194"/>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1194"/>
      <x:c r="V90" s="1194"/>
      <x:c r="W90" s="1194"/>
      <x:c r="X90" s="1194"/>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1194"/>
      <x:c r="V91" s="1194"/>
      <x:c r="W91" s="1194"/>
      <x:c r="X91" s="1194"/>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1194"/>
      <x:c r="V92" s="1194"/>
      <x:c r="W92" s="1194"/>
      <x:c r="X92" s="1194"/>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1194"/>
      <x:c r="V93" s="1194"/>
      <x:c r="W93" s="1194"/>
      <x:c r="X93" s="1194"/>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1194"/>
      <x:c r="V94" s="1194"/>
      <x:c r="W94" s="1194"/>
      <x:c r="X94" s="1194"/>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1194"/>
      <x:c r="V95" s="1194"/>
      <x:c r="W95" s="1194"/>
      <x:c r="X95" s="1194"/>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1194"/>
      <x:c r="V96" s="1194"/>
      <x:c r="W96" s="1194"/>
      <x:c r="X96" s="1194"/>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1194"/>
      <x:c r="V97" s="1194"/>
      <x:c r="W97" s="1194"/>
      <x:c r="X97" s="1194"/>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1194"/>
      <x:c r="V98" s="1194"/>
      <x:c r="W98" s="1194"/>
      <x:c r="X98" s="1194"/>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1194"/>
      <x:c r="V99" s="1194"/>
      <x:c r="W99" s="1194"/>
      <x:c r="X99" s="1194"/>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1194"/>
      <x:c r="V100" s="1194"/>
      <x:c r="W100" s="1194"/>
      <x:c r="X100" s="1194"/>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1194"/>
      <x:c r="V101" s="1194"/>
      <x:c r="W101" s="1194"/>
      <x:c r="X101" s="1194"/>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1194"/>
      <x:c r="V102" s="1194"/>
      <x:c r="W102" s="1194"/>
      <x:c r="X102" s="1194"/>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1194"/>
      <x:c r="V103" s="1194"/>
      <x:c r="W103" s="1194"/>
      <x:c r="X103" s="1194"/>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1194"/>
      <x:c r="V104" s="1194"/>
      <x:c r="W104" s="1194"/>
      <x:c r="X104" s="1194"/>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1194"/>
      <x:c r="V105" s="1194"/>
      <x:c r="W105" s="1194"/>
      <x:c r="X105" s="1194"/>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1194"/>
      <x:c r="V106" s="1194"/>
      <x:c r="W106" s="1194"/>
      <x:c r="X106" s="1194"/>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1194"/>
      <x:c r="V107" s="1194"/>
      <x:c r="W107" s="1194"/>
      <x:c r="X107" s="1194"/>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1194"/>
      <x:c r="V108" s="1194"/>
      <x:c r="W108" s="1194"/>
      <x:c r="X108" s="1194"/>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1194"/>
      <x:c r="V109" s="1194"/>
      <x:c r="W109" s="1194"/>
      <x:c r="X109" s="1194"/>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1194"/>
      <x:c r="V110" s="1194"/>
      <x:c r="W110" s="1194"/>
      <x:c r="X110" s="1194"/>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1194"/>
      <x:c r="V111" s="1194"/>
      <x:c r="W111" s="1194"/>
      <x:c r="X111" s="1194"/>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1194"/>
      <x:c r="V112" s="1194"/>
      <x:c r="W112" s="1194"/>
      <x:c r="X112" s="1194"/>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1194"/>
      <x:c r="V113" s="1194"/>
      <x:c r="W113" s="1194"/>
      <x:c r="X113" s="1194"/>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1194"/>
      <x:c r="V114" s="1194"/>
      <x:c r="W114" s="1194"/>
      <x:c r="X114" s="1194"/>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1194"/>
      <x:c r="V115" s="1194"/>
      <x:c r="W115" s="1194"/>
      <x:c r="X115" s="1194"/>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1194"/>
      <x:c r="V116" s="1194"/>
      <x:c r="W116" s="1194"/>
      <x:c r="X116" s="1194"/>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1194"/>
      <x:c r="V117" s="1194"/>
      <x:c r="W117" s="1194"/>
      <x:c r="X117" s="1194"/>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1194"/>
      <x:c r="V118" s="1194"/>
      <x:c r="W118" s="1194"/>
      <x:c r="X118" s="1194"/>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1194"/>
      <x:c r="V119" s="1194"/>
      <x:c r="W119" s="1194"/>
      <x:c r="X119" s="1194"/>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1194"/>
      <x:c r="V120" s="1194"/>
      <x:c r="W120" s="1194"/>
      <x:c r="X120" s="1194"/>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1194"/>
      <x:c r="V121" s="1194"/>
      <x:c r="W121" s="1194"/>
      <x:c r="X121" s="1194"/>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1194"/>
      <x:c r="V122" s="1194"/>
      <x:c r="W122" s="1194"/>
      <x:c r="X122" s="1194"/>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1194"/>
      <x:c r="V123" s="1194"/>
      <x:c r="W123" s="1194"/>
      <x:c r="X123" s="1194"/>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1194"/>
      <x:c r="V124" s="1194"/>
      <x:c r="W124" s="1194"/>
      <x:c r="X124" s="1194"/>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1194"/>
      <x:c r="V125" s="1194"/>
      <x:c r="W125" s="1194"/>
      <x:c r="X125" s="1194"/>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1194"/>
      <x:c r="V126" s="1194"/>
      <x:c r="W126" s="1194"/>
      <x:c r="X126" s="1194"/>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1194"/>
      <x:c r="V127" s="1194"/>
      <x:c r="W127" s="1194"/>
      <x:c r="X127" s="1194"/>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1194"/>
      <x:c r="V128" s="1194"/>
      <x:c r="W128" s="1194"/>
      <x:c r="X128" s="1194"/>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1194"/>
      <x:c r="V129" s="1194"/>
      <x:c r="W129" s="1194"/>
      <x:c r="X129" s="1194"/>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1194"/>
      <x:c r="V130" s="1194"/>
      <x:c r="W130" s="1194"/>
      <x:c r="X130" s="1194"/>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1194"/>
      <x:c r="V131" s="1194"/>
      <x:c r="W131" s="1194"/>
      <x:c r="X131" s="1194"/>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1194"/>
      <x:c r="V132" s="1194"/>
      <x:c r="W132" s="1194"/>
      <x:c r="X132" s="1194"/>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1194"/>
      <x:c r="V133" s="1194"/>
      <x:c r="W133" s="1194"/>
      <x:c r="X133" s="1194"/>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1194"/>
      <x:c r="V134" s="1194"/>
      <x:c r="W134" s="1194"/>
      <x:c r="X134" s="1194"/>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1194"/>
      <x:c r="V135" s="1194"/>
      <x:c r="W135" s="1194"/>
      <x:c r="X135" s="1194"/>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1194"/>
      <x:c r="V136" s="1194"/>
      <x:c r="W136" s="1194"/>
      <x:c r="X136" s="1194"/>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1194"/>
      <x:c r="V137" s="1194"/>
      <x:c r="W137" s="1194"/>
      <x:c r="X137" s="1194"/>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1194"/>
      <x:c r="V138" s="1194"/>
      <x:c r="W138" s="1194"/>
      <x:c r="X138" s="1194"/>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1194"/>
      <x:c r="V139" s="1194"/>
      <x:c r="W139" s="1194"/>
      <x:c r="X139" s="1194"/>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1194"/>
      <x:c r="V140" s="1194"/>
      <x:c r="W140" s="1194"/>
      <x:c r="X140" s="1194"/>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1194"/>
      <x:c r="V141" s="1194"/>
      <x:c r="W141" s="1194"/>
      <x:c r="X141" s="1194"/>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1194"/>
      <x:c r="V142" s="1194"/>
      <x:c r="W142" s="1194"/>
      <x:c r="X142" s="1194"/>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1194"/>
      <x:c r="V143" s="1194"/>
      <x:c r="W143" s="1194"/>
      <x:c r="X143" s="1194"/>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1194"/>
      <x:c r="V144" s="1194"/>
      <x:c r="W144" s="1194"/>
      <x:c r="X144" s="1194"/>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1194"/>
      <x:c r="V145" s="1194"/>
      <x:c r="W145" s="1194"/>
      <x:c r="X145" s="1194"/>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1194"/>
      <x:c r="V146" s="1194"/>
      <x:c r="W146" s="1194"/>
      <x:c r="X146" s="1194"/>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1194"/>
      <x:c r="V147" s="1194"/>
      <x:c r="W147" s="1194"/>
      <x:c r="X147" s="1194"/>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1194"/>
      <x:c r="V148" s="1194"/>
      <x:c r="W148" s="1194"/>
      <x:c r="X148" s="1194"/>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1194"/>
      <x:c r="V149" s="1194"/>
      <x:c r="W149" s="1194"/>
      <x:c r="X149" s="1194"/>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1194"/>
      <x:c r="V150" s="1194"/>
      <x:c r="W150" s="1194"/>
      <x:c r="X150" s="1194"/>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1194"/>
      <x:c r="V151" s="1194"/>
      <x:c r="W151" s="1194"/>
      <x:c r="X151" s="1194"/>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1194"/>
      <x:c r="V152" s="1194"/>
      <x:c r="W152" s="1194"/>
      <x:c r="X152" s="1194"/>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1194"/>
      <x:c r="V153" s="1194"/>
      <x:c r="W153" s="1194"/>
      <x:c r="X153" s="1194"/>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1194"/>
      <x:c r="V154" s="1194"/>
      <x:c r="W154" s="1194"/>
      <x:c r="X154" s="1194"/>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1194"/>
      <x:c r="V155" s="1194"/>
      <x:c r="W155" s="1194"/>
      <x:c r="X155" s="1194"/>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1194"/>
      <x:c r="V156" s="1194"/>
      <x:c r="W156" s="1194"/>
      <x:c r="X156" s="1194"/>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1194"/>
      <x:c r="V157" s="1194"/>
      <x:c r="W157" s="1194"/>
      <x:c r="X157" s="1194"/>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1194"/>
      <x:c r="V158" s="1194"/>
      <x:c r="W158" s="1194"/>
      <x:c r="X158" s="1194"/>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1194"/>
      <x:c r="V159" s="1194"/>
      <x:c r="W159" s="1194"/>
      <x:c r="X159" s="1194"/>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1194"/>
      <x:c r="V160" s="1194"/>
      <x:c r="W160" s="1194"/>
      <x:c r="X160" s="1194"/>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1194"/>
      <x:c r="V161" s="1194"/>
      <x:c r="W161" s="1194"/>
      <x:c r="X161" s="1194"/>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1194"/>
      <x:c r="V162" s="1194"/>
      <x:c r="W162" s="1194"/>
      <x:c r="X162" s="1194"/>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1194"/>
      <x:c r="V163" s="1194"/>
      <x:c r="W163" s="1194"/>
      <x:c r="X163" s="1194"/>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1194"/>
      <x:c r="V164" s="1194"/>
      <x:c r="W164" s="1194"/>
      <x:c r="X164" s="1194"/>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1194"/>
      <x:c r="V165" s="1194"/>
      <x:c r="W165" s="1194"/>
      <x:c r="X165" s="1194"/>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1194"/>
      <x:c r="V166" s="1194"/>
      <x:c r="W166" s="1194"/>
      <x:c r="X166" s="1194"/>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1194"/>
      <x:c r="V167" s="1194"/>
      <x:c r="W167" s="1194"/>
      <x:c r="X167" s="1194"/>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1194"/>
      <x:c r="V168" s="1194"/>
      <x:c r="W168" s="1194"/>
      <x:c r="X168" s="1194"/>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1194"/>
      <x:c r="V169" s="1194"/>
      <x:c r="W169" s="1194"/>
      <x:c r="X169" s="1194"/>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1194"/>
      <x:c r="V170" s="1194"/>
      <x:c r="W170" s="1194"/>
      <x:c r="X170" s="1194"/>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1194"/>
      <x:c r="V171" s="1194"/>
      <x:c r="W171" s="1194"/>
      <x:c r="X171" s="1194"/>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1194"/>
      <x:c r="V172" s="1194"/>
      <x:c r="W172" s="1194"/>
      <x:c r="X172" s="1194"/>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1194"/>
      <x:c r="V173" s="1194"/>
      <x:c r="W173" s="1194"/>
      <x:c r="X173" s="1194"/>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1194"/>
      <x:c r="V174" s="1194"/>
      <x:c r="W174" s="1194"/>
      <x:c r="X174" s="1194"/>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1194"/>
      <x:c r="V175" s="1194"/>
      <x:c r="W175" s="1194"/>
      <x:c r="X175" s="1194"/>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1194"/>
      <x:c r="V176" s="1194"/>
      <x:c r="W176" s="1194"/>
      <x:c r="X176" s="1194"/>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1194"/>
      <x:c r="V177" s="1194"/>
      <x:c r="W177" s="1194"/>
      <x:c r="X177" s="1194"/>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1194"/>
      <x:c r="V178" s="1194"/>
      <x:c r="W178" s="1194"/>
      <x:c r="X178" s="1194"/>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1194"/>
      <x:c r="V179" s="1194"/>
      <x:c r="W179" s="1194"/>
      <x:c r="X179" s="1194"/>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1194"/>
      <x:c r="V180" s="1194"/>
      <x:c r="W180" s="1194"/>
      <x:c r="X180" s="1194"/>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1194"/>
      <x:c r="V181" s="1194"/>
      <x:c r="W181" s="1194"/>
      <x:c r="X181" s="1194"/>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1194"/>
      <x:c r="V182" s="1194"/>
      <x:c r="W182" s="1194"/>
      <x:c r="X182" s="1194"/>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1194"/>
      <x:c r="V183" s="1194"/>
      <x:c r="W183" s="1194"/>
      <x:c r="X183" s="1194"/>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1194"/>
      <x:c r="V184" s="1194"/>
      <x:c r="W184" s="1194"/>
      <x:c r="X184" s="1194"/>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1194"/>
      <x:c r="V185" s="1194"/>
      <x:c r="W185" s="1194"/>
      <x:c r="X185" s="1194"/>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1194"/>
      <x:c r="V186" s="1194"/>
      <x:c r="W186" s="1194"/>
      <x:c r="X186" s="1194"/>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1194"/>
      <x:c r="V187" s="1194"/>
      <x:c r="W187" s="1194"/>
      <x:c r="X187" s="1194"/>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1194"/>
      <x:c r="V188" s="1194"/>
      <x:c r="W188" s="1194"/>
      <x:c r="X188" s="1194"/>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1194"/>
      <x:c r="V189" s="1194"/>
      <x:c r="W189" s="1194"/>
      <x:c r="X189" s="1194"/>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1194"/>
      <x:c r="V190" s="1194"/>
      <x:c r="W190" s="1194"/>
      <x:c r="X190" s="1194"/>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1194"/>
      <x:c r="V191" s="1194"/>
      <x:c r="W191" s="1194"/>
      <x:c r="X191" s="1194"/>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1194"/>
      <x:c r="V192" s="1194"/>
      <x:c r="W192" s="1194"/>
      <x:c r="X192" s="1194"/>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1194"/>
      <x:c r="V193" s="1194"/>
      <x:c r="W193" s="1194"/>
      <x:c r="X193" s="1194"/>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1194"/>
      <x:c r="V194" s="1194"/>
      <x:c r="W194" s="1194"/>
      <x:c r="X194" s="1194"/>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1194"/>
      <x:c r="V195" s="1194"/>
      <x:c r="W195" s="1194"/>
      <x:c r="X195" s="1194"/>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1194"/>
      <x:c r="V196" s="1194"/>
      <x:c r="W196" s="1194"/>
      <x:c r="X196" s="1194"/>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1194"/>
      <x:c r="V197" s="1194"/>
      <x:c r="W197" s="1194"/>
      <x:c r="X197" s="1194"/>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1194"/>
      <x:c r="V198" s="1194"/>
      <x:c r="W198" s="1194"/>
      <x:c r="X198" s="1194"/>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1194"/>
      <x:c r="V199" s="1194"/>
      <x:c r="W199" s="1194"/>
      <x:c r="X199" s="1194"/>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1194"/>
      <x:c r="V200" s="1194"/>
      <x:c r="W200" s="1194"/>
      <x:c r="X200" s="1194"/>
      <x:c r="Y200" s="339"/>
      <x:c r="Z200" s="339"/>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N1"/>
    <x:mergeCell ref="A2:N2"/>
    <x:mergeCell ref="H4:N4"/>
    <x:mergeCell ref="A13:N13"/>
    <x:mergeCell ref="A17:N17"/>
    <x:mergeCell ref="A25:H25"/>
    <x:mergeCell ref="M25:N25"/>
    <x:mergeCell ref="A27:N27"/>
    <x:mergeCell ref="A33:H33"/>
    <x:mergeCell ref="M33:N33"/>
    <x:mergeCell ref="A35:N35"/>
    <x:mergeCell ref="A39:H39"/>
    <x:mergeCell ref="M39:N39"/>
    <x:mergeCell ref="A41:N41"/>
    <x:mergeCell ref="A45:H45"/>
    <x:mergeCell ref="M45:N45"/>
    <x:mergeCell ref="A47:N47"/>
    <x:mergeCell ref="A52:H52"/>
    <x:mergeCell ref="M52:N52"/>
    <x:mergeCell ref="A54:H54"/>
    <x:mergeCell ref="M54:N54"/>
    <x:mergeCell ref="A55:H55"/>
    <x:mergeCell ref="M55:N55"/>
    <x:mergeCell ref="A56:H56"/>
    <x:mergeCell ref="M56:N56"/>
    <x:mergeCell ref="A8:N8"/>
    <x:mergeCell ref="A59:N59"/>
    <x:mergeCell ref="U1:X1"/>
    <x:mergeCell ref="V2:X2"/>
    <x:mergeCell ref="V3:X3"/>
    <x:mergeCell ref="V4:X4"/>
    <x:mergeCell ref="V5:X5"/>
    <x:mergeCell ref="V6:X6"/>
    <x:mergeCell ref="V7:X7"/>
  </x:mergeCells>
  <x:pageMargins left="0.7" right="0.7" top="0.75" bottom="0.75" header="0.3" footer="0.3"/>
</x:worksheet>
</file>

<file path=xl/worksheets/sheet16.xml><?xml version="1.0" encoding="utf-8"?>
<x:worksheet xmlns:x="http://schemas.openxmlformats.org/spreadsheetml/2006/main">
  <x:sheetFormatPr defaultRowHeight="15"/>
  <x:cols>
    <x:col min="1" max="1" width="24" hidden="0" customWidth="1"/>
    <x:col min="2" max="2" width="35" hidden="0" customWidth="1"/>
    <x:col min="3" max="3" width="44" hidden="0" customWidth="1"/>
    <x:col min="4" max="4" width="14" hidden="0" customWidth="1"/>
    <x:col min="5" max="5" width="16" hidden="0" customWidth="1"/>
    <x:col min="6" max="6" width="16" hidden="0" customWidth="1"/>
    <x:col min="7" max="7" width="16" hidden="0" customWidth="1"/>
    <x:col min="8" max="8" width="16" hidden="0" customWidth="1"/>
    <x:col min="9" max="9" width="16" hidden="0" customWidth="1"/>
    <x:col min="10" max="10" width="17" hidden="0" customWidth="1"/>
    <x:col min="11" max="11" width="17" hidden="0" customWidth="1"/>
    <x:col min="12" max="12" width="14" hidden="0" customWidth="1"/>
    <x:col min="13" max="13" width="24" hidden="0" customWidth="1"/>
    <x:col min="14" max="14" width="38" hidden="0" customWidth="1"/>
    <x:col min="21" max="21" width="20" hidden="0" customWidth="1"/>
    <x:col min="22" max="22" width="24" hidden="0" customWidth="1"/>
    <x:col min="23" max="23" width="24" hidden="0" customWidth="1"/>
    <x:col min="24" max="24" width="24" hidden="0" customWidth="1"/>
  </x:cols>
  <x:sheetData>
    <x:row r="1" ht="30" customHeight="1">
      <x:c r="A1" s="685" t="str">
        <x:v>Stage 2 — Conditional Nationwide Rollout</x:v>
      </x:c>
      <x:c r="B1" s="685" t="str">
        <x:v>Stage 2 — Conditional Nationwide Rollout</x:v>
      </x:c>
      <x:c r="C1" s="685" t="str">
        <x:v>Stage 2 — Conditional Nationwide Rollout</x:v>
      </x:c>
      <x:c r="D1" s="685" t="str">
        <x:v>Stage 2 — Conditional Nationwide Rollout</x:v>
      </x:c>
      <x:c r="E1" s="685" t="str">
        <x:v>Stage 2 — Conditional Nationwide Rollout</x:v>
      </x:c>
      <x:c r="F1" s="685" t="str">
        <x:v>Stage 2 — Conditional Nationwide Rollout</x:v>
      </x:c>
      <x:c r="G1" s="685" t="str">
        <x:v>Stage 2 — Conditional Nationwide Rollout</x:v>
      </x:c>
      <x:c r="H1" s="685" t="str">
        <x:v>Stage 2 — Conditional Nationwide Rollout</x:v>
      </x:c>
      <x:c r="I1" s="685" t="str">
        <x:v>Stage 2 — Conditional Nationwide Rollout</x:v>
      </x:c>
      <x:c r="J1" s="685" t="str">
        <x:v>Stage 2 — Conditional Nationwide Rollout</x:v>
      </x:c>
      <x:c r="K1" s="685" t="str">
        <x:v>Stage 2 — Conditional Nationwide Rollout</x:v>
      </x:c>
      <x:c r="L1" s="685" t="str">
        <x:v>Stage 2 — Conditional Nationwide Rollout</x:v>
      </x:c>
      <x:c r="M1" s="685" t="str">
        <x:v>Stage 2 — Conditional Nationwide Rollout</x:v>
      </x:c>
      <x:c r="N1" s="685" t="str">
        <x:v>Stage 2 — Conditional Nationwide Rollout</x:v>
      </x:c>
      <x:c r="O1" s="339"/>
      <x:c r="P1" s="339"/>
      <x:c r="Q1" s="339"/>
      <x:c r="R1" s="339"/>
      <x:c r="S1" s="339"/>
      <x:c r="T1" s="339"/>
      <x:c r="U1" s="1194"/>
      <x:c r="V1" s="1194"/>
      <x:c r="W1" s="1194"/>
      <x:c r="X1" s="1194"/>
      <x:c r="Y1" s="339"/>
      <x:c r="Z1" s="339"/>
    </x:row>
    <x:row r="2" ht="28" customHeight="1">
      <x:c r="A2" s="340" t="str">
        <x:v>This is a conditional scale model, not part of the immediate ask. The rollout is ramped over five years and only follows successful Year 0 and pilot gates.</x:v>
      </x:c>
      <x:c r="B2" s="340" t="str">
        <x:v>This is a conditional scale model, not part of the immediate ask. The rollout is ramped over five years and only follows successful Year 0 and pilot gates.</x:v>
      </x:c>
      <x:c r="C2" s="340" t="str">
        <x:v>This is a conditional scale model, not part of the immediate ask. The rollout is ramped over five years and only follows successful Year 0 and pilot gates.</x:v>
      </x:c>
      <x:c r="D2" s="340" t="str">
        <x:v>This is a conditional scale model, not part of the immediate ask. The rollout is ramped over five years and only follows successful Year 0 and pilot gates.</x:v>
      </x:c>
      <x:c r="E2" s="340" t="str">
        <x:v>This is a conditional scale model, not part of the immediate ask. The rollout is ramped over five years and only follows successful Year 0 and pilot gates.</x:v>
      </x:c>
      <x:c r="F2" s="340" t="str">
        <x:v>This is a conditional scale model, not part of the immediate ask. The rollout is ramped over five years and only follows successful Year 0 and pilot gates.</x:v>
      </x:c>
      <x:c r="G2" s="340" t="str">
        <x:v>This is a conditional scale model, not part of the immediate ask. The rollout is ramped over five years and only follows successful Year 0 and pilot gates.</x:v>
      </x:c>
      <x:c r="H2" s="340" t="str">
        <x:v>This is a conditional scale model, not part of the immediate ask. The rollout is ramped over five years and only follows successful Year 0 and pilot gates.</x:v>
      </x:c>
      <x:c r="I2" s="340" t="str">
        <x:v>This is a conditional scale model, not part of the immediate ask. The rollout is ramped over five years and only follows successful Year 0 and pilot gates.</x:v>
      </x:c>
      <x:c r="J2" s="340" t="str">
        <x:v>This is a conditional scale model, not part of the immediate ask. The rollout is ramped over five years and only follows successful Year 0 and pilot gates.</x:v>
      </x:c>
      <x:c r="K2" s="340" t="str">
        <x:v>This is a conditional scale model, not part of the immediate ask. The rollout is ramped over five years and only follows successful Year 0 and pilot gates.</x:v>
      </x:c>
      <x:c r="L2" s="340" t="str">
        <x:v>This is a conditional scale model, not part of the immediate ask. The rollout is ramped over five years and only follows successful Year 0 and pilot gates.</x:v>
      </x:c>
      <x:c r="M2" s="340" t="str">
        <x:v>This is a conditional scale model, not part of the immediate ask. The rollout is ramped over five years and only follows successful Year 0 and pilot gates.</x:v>
      </x:c>
      <x:c r="N2" s="340" t="str">
        <x:v>This is a conditional scale model, not part of the immediate ask. The rollout is ramped over five years and only follows successful Year 0 and pilot gates.</x:v>
      </x:c>
      <x:c r="O2" s="339"/>
      <x:c r="P2" s="339"/>
      <x:c r="Q2" s="339"/>
      <x:c r="R2" s="339"/>
      <x:c r="S2" s="339"/>
      <x:c r="T2" s="339"/>
      <x:c r="U2" s="1195"/>
      <x:c r="V2" s="1195"/>
      <x:c r="W2" s="1195"/>
      <x:c r="X2" s="1195"/>
      <x:c r="Y2" s="339"/>
      <x:c r="Z2" s="339"/>
    </x:row>
    <x:row r="3">
      <x:c r="A3" s="28"/>
      <x:c r="B3" s="28"/>
      <x:c r="C3" s="28"/>
      <x:c r="D3" s="28"/>
      <x:c r="E3" s="28"/>
      <x:c r="F3" s="28"/>
      <x:c r="G3" s="28"/>
      <x:c r="H3" s="28"/>
      <x:c r="I3" s="28"/>
      <x:c r="J3" s="28"/>
      <x:c r="K3" s="28"/>
      <x:c r="L3" s="28"/>
      <x:c r="M3" s="28"/>
      <x:c r="N3" s="28"/>
      <x:c r="O3" s="339"/>
      <x:c r="P3" s="339"/>
      <x:c r="Q3" s="339"/>
      <x:c r="R3" s="339"/>
      <x:c r="S3" s="339"/>
      <x:c r="T3" s="339"/>
      <x:c r="U3" s="1195"/>
      <x:c r="V3" s="1195"/>
      <x:c r="W3" s="1195"/>
      <x:c r="X3" s="1195"/>
      <x:c r="Y3" s="339"/>
      <x:c r="Z3" s="339"/>
    </x:row>
    <x:row r="4" ht="30" customHeight="1">
      <x:c r="A4" s="343" t="str">
        <x:v>Scenario</x:v>
      </x:c>
      <x:c r="B4" s="343" t="str">
        <x:v>Participant payments</x:v>
      </x:c>
      <x:c r="C4" s="343" t="str">
        <x:v>Staffing</x:v>
      </x:c>
      <x:c r="D4" s="343" t="str">
        <x:v>Schools &amp; community</x:v>
      </x:c>
      <x:c r="E4" s="343" t="str">
        <x:v>Technology &amp; payment</x:v>
      </x:c>
      <x:c r="F4" s="343" t="str">
        <x:v>Evaluation &amp; assurance</x:v>
      </x:c>
      <x:c r="G4" s="343" t="str">
        <x:v>Contingency</x:v>
      </x:c>
      <x:c r="H4" s="343" t="str">
        <x:v>Mature annual cost</x:v>
      </x:c>
      <x:c r="I4" s="343" t="str">
        <x:v>Cost per student/year</x:v>
      </x:c>
      <x:c r="J4" s="28"/>
      <x:c r="K4" s="406" t="str">
        <x:v>The mature annual cost excludes temporary rollout-onboarding expenditure. The five-year implementation table below includes it.</x:v>
      </x:c>
      <x:c r="L4" s="406"/>
      <x:c r="M4" s="406"/>
      <x:c r="N4" s="406"/>
      <x:c r="O4" s="339"/>
      <x:c r="P4" s="339"/>
      <x:c r="Q4" s="339"/>
      <x:c r="R4" s="339"/>
      <x:c r="S4" s="339"/>
      <x:c r="T4" s="339"/>
      <x:c r="U4" s="1195"/>
      <x:c r="V4" s="1195"/>
      <x:c r="W4" s="1195"/>
      <x:c r="X4" s="1195"/>
      <x:c r="Y4" s="339"/>
      <x:c r="Z4" s="339"/>
    </x:row>
    <x:row r="5">
      <x:c r="A5" s="407" t="str">
        <x:v>Low</x:v>
      </x:c>
      <x:c r="B5" s="345" t="n">
        <x:f>Assumptions!$D$32*Assumptions!$D$35*Assumptions!$D$36*Assumptions!$D$37</x:f>
        <x:v>740389625</x:v>
      </x:c>
      <x:c r="C5" s="345" t="n">
        <x:f>((Assumptions!$D$32/Assumptions!$D$38)*Assumptions!$D$39+24*175000+(Assumptions!$D$32/4000)*130000+(Assumptions!$D$32/5000)*125000+60*145000+(Assumptions!$D$32/10000)*100000)*Assumptions!$D$13</x:f>
        <x:v>68598487.125</x:v>
      </x:c>
      <x:c r="D5" s="345" t="n">
        <x:f>((Assumptions!$D$34*80000)+(Assumptions!$D$32*250))*Assumptions!$D$13</x:f>
        <x:v>100245387.5</x:v>
      </x:c>
      <x:c r="E5" s="345" t="n">
        <x:f>(12000000+(4000000+Assumptions!$D$32*25)+(Assumptions!$D$32*60))*Assumptions!$D$13</x:f>
        <x:v>36123431.75</x:v>
      </x:c>
      <x:c r="F5" s="345" t="n">
        <x:f>(12000000+8000000+8000000)*Assumptions!$D$13</x:f>
        <x:v>23800000</x:v>
      </x:c>
      <x:c r="G5" s="345" t="n">
        <x:f>SUM(C5:F5)*Assumptions!$D$14</x:f>
        <x:v>18301384.51</x:v>
      </x:c>
      <x:c r="H5" s="345" t="n">
        <x:f>SUM(B5:G5)</x:f>
        <x:v>987458315.885</x:v>
      </x:c>
      <x:c r="I5" s="345" t="n">
        <x:f>H5/Assumptions!$D$32</x:f>
        <x:v>3167.5396589017237</x:v>
      </x:c>
      <x:c r="J5" s="28"/>
      <x:c r="K5" s="28"/>
      <x:c r="L5" s="28"/>
      <x:c r="M5" s="28"/>
      <x:c r="N5" s="28"/>
      <x:c r="O5" s="339"/>
      <x:c r="P5" s="339"/>
      <x:c r="Q5" s="339"/>
      <x:c r="R5" s="339"/>
      <x:c r="S5" s="339"/>
      <x:c r="T5" s="339"/>
      <x:c r="U5" s="1195"/>
      <x:c r="V5" s="1195"/>
      <x:c r="W5" s="1195"/>
      <x:c r="X5" s="1195"/>
      <x:c r="Y5" s="339"/>
      <x:c r="Z5" s="339"/>
    </x:row>
    <x:row r="6">
      <x:c r="A6" s="408" t="str">
        <x:v>Central</x:v>
      </x:c>
      <x:c r="B6" s="409" t="n">
        <x:f>Assumptions!$E$32*Assumptions!$E$35*Assumptions!$E$36*Assumptions!$E$37</x:f>
        <x:v>1215797700</x:v>
      </x:c>
      <x:c r="C6" s="409" t="n">
        <x:f>((Assumptions!$E$32/Assumptions!$E$38)*Assumptions!$E$39+24*175000+(Assumptions!$E$32/4000)*130000+(Assumptions!$E$32/5000)*125000+60*145000+(Assumptions!$E$32/10000)*100000)*Assumptions!$E$13</x:f>
        <x:v>93693394.16666667</x:v>
      </x:c>
      <x:c r="D6" s="409" t="n">
        <x:f>((Assumptions!$E$34*80000)+(Assumptions!$E$32*250))*Assumptions!$E$13</x:f>
        <x:v>117935750</x:v>
      </x:c>
      <x:c r="E6" s="409" t="n">
        <x:f>(12000000+(4000000+Assumptions!$E$32*25)+(Assumptions!$E$32*60))*Assumptions!$E$13</x:f>
        <x:v>42498155</x:v>
      </x:c>
      <x:c r="F6" s="409" t="n">
        <x:f>(12000000+8000000+8000000)*Assumptions!$E$13</x:f>
        <x:v>28000000</x:v>
      </x:c>
      <x:c r="G6" s="409" t="n">
        <x:f>SUM(C6:F6)*Assumptions!$E$14</x:f>
        <x:v>28212729.91666667</x:v>
      </x:c>
      <x:c r="H6" s="409" t="n">
        <x:f>SUM(B6:G6)</x:f>
        <x:v>1526137729.0833335</x:v>
      </x:c>
      <x:c r="I6" s="409" t="n">
        <x:f>H6/Assumptions!$E$32</x:f>
        <x:v>4895.499591276575</x:v>
      </x:c>
      <x:c r="J6" s="28"/>
      <x:c r="K6" s="28"/>
      <x:c r="L6" s="28"/>
      <x:c r="M6" s="28"/>
      <x:c r="N6" s="28"/>
      <x:c r="O6" s="339"/>
      <x:c r="P6" s="339"/>
      <x:c r="Q6" s="339"/>
      <x:c r="R6" s="339"/>
      <x:c r="S6" s="339"/>
      <x:c r="T6" s="339"/>
      <x:c r="U6" s="1195"/>
      <x:c r="V6" s="1195"/>
      <x:c r="W6" s="1195"/>
      <x:c r="X6" s="1195"/>
      <x:c r="Y6" s="339"/>
      <x:c r="Z6" s="339"/>
    </x:row>
    <x:row r="7">
      <x:c r="A7" s="407" t="str">
        <x:v>High</x:v>
      </x:c>
      <x:c r="B7" s="345" t="n">
        <x:f>Assumptions!$F$32*Assumptions!$F$35*Assumptions!$F$36*Assumptions!$F$37</x:f>
        <x:v>1571184720</x:v>
      </x:c>
      <x:c r="C7" s="345" t="n">
        <x:f>((Assumptions!$F$32/Assumptions!$F$38)*Assumptions!$F$39+24*175000+(Assumptions!$F$32/4000)*130000+(Assumptions!$F$32/5000)*125000+60*145000+(Assumptions!$F$32/10000)*100000)*Assumptions!$F$13</x:f>
        <x:v>143744790.625</x:v>
      </x:c>
      <x:c r="D7" s="345" t="n">
        <x:f>((Assumptions!$F$34*80000)+(Assumptions!$F$32*250))*Assumptions!$F$13</x:f>
        <x:v>147419687.5</x:v>
      </x:c>
      <x:c r="E7" s="345" t="n">
        <x:f>(12000000+(4000000+Assumptions!$F$32*25)+(Assumptions!$F$32*60))*Assumptions!$F$13</x:f>
        <x:v>53122693.75</x:v>
      </x:c>
      <x:c r="F7" s="345" t="n">
        <x:f>(12000000+8000000+8000000)*Assumptions!$F$13</x:f>
        <x:v>35000000</x:v>
      </x:c>
      <x:c r="G7" s="345" t="n">
        <x:f>SUM(C7:F7)*Assumptions!$F$14</x:f>
        <x:v>56893075.78125</x:v>
      </x:c>
      <x:c r="H7" s="345" t="n">
        <x:f>SUM(B7:G7)</x:f>
        <x:v>2007364967.65625</x:v>
      </x:c>
      <x:c r="I7" s="345" t="n">
        <x:f>H7/Assumptions!$F$32</x:f>
        <x:v>6439.166132539463</x:v>
      </x:c>
      <x:c r="J7" s="28"/>
      <x:c r="K7" s="28"/>
      <x:c r="L7" s="28"/>
      <x:c r="M7" s="28"/>
      <x:c r="N7" s="28"/>
      <x:c r="O7" s="339"/>
      <x:c r="P7" s="339"/>
      <x:c r="Q7" s="339"/>
      <x:c r="R7" s="339"/>
      <x:c r="S7" s="339"/>
      <x:c r="T7" s="339"/>
      <x:c r="U7" s="1195"/>
      <x:c r="V7" s="1195"/>
      <x:c r="W7" s="1195"/>
      <x:c r="X7" s="1195"/>
      <x:c r="Y7" s="339"/>
      <x:c r="Z7" s="339"/>
    </x:row>
    <x:row r="8">
      <x:c r="A8" s="28"/>
      <x:c r="B8" s="28"/>
      <x:c r="C8" s="28"/>
      <x:c r="D8" s="28"/>
      <x:c r="E8" s="28"/>
      <x:c r="F8" s="28"/>
      <x:c r="G8" s="28"/>
      <x:c r="H8" s="28"/>
      <x:c r="I8" s="28"/>
      <x:c r="J8" s="28"/>
      <x:c r="K8" s="28"/>
      <x:c r="L8" s="28"/>
      <x:c r="M8" s="28"/>
      <x:c r="N8" s="28"/>
      <x:c r="O8" s="339"/>
      <x:c r="P8" s="339"/>
      <x:c r="Q8" s="339"/>
      <x:c r="R8" s="339"/>
      <x:c r="S8" s="339"/>
      <x:c r="T8" s="339"/>
      <x:c r="U8" s="1194"/>
      <x:c r="V8" s="1194"/>
      <x:c r="W8" s="1194"/>
      <x:c r="X8" s="1194"/>
      <x:c r="Y8" s="339"/>
      <x:c r="Z8" s="339"/>
    </x:row>
    <x:row r="9" ht="24" customHeight="1">
      <x:c r="A9" s="462" t="str">
        <x:v>Central rollout ramp: 10% → 30% → 60% → 85% → 100%. This is a planning sequence only; Cabinet/Treasury and delivery capacity determine actual timing.</x:v>
      </x:c>
      <x:c r="B9" s="462"/>
      <x:c r="C9" s="462"/>
      <x:c r="D9" s="462"/>
      <x:c r="E9" s="462"/>
      <x:c r="F9" s="462"/>
      <x:c r="G9" s="462"/>
      <x:c r="H9" s="462"/>
      <x:c r="I9" s="462"/>
      <x:c r="J9" s="462"/>
      <x:c r="K9" s="462"/>
      <x:c r="L9" s="462"/>
      <x:c r="M9" s="462"/>
      <x:c r="N9" s="462"/>
      <x:c r="O9" s="339"/>
      <x:c r="P9" s="339"/>
      <x:c r="Q9" s="339"/>
      <x:c r="R9" s="339"/>
      <x:c r="S9" s="339"/>
      <x:c r="T9" s="339"/>
      <x:c r="U9" s="1194"/>
      <x:c r="V9" s="1194"/>
      <x:c r="W9" s="1194"/>
      <x:c r="X9" s="1194"/>
      <x:c r="Y9" s="339"/>
      <x:c r="Z9" s="339"/>
    </x:row>
    <x:row r="10">
      <x:c r="A10" s="28"/>
      <x:c r="B10" s="28"/>
      <x:c r="C10" s="28"/>
      <x:c r="D10" s="28"/>
      <x:c r="E10" s="28"/>
      <x:c r="F10" s="28"/>
      <x:c r="G10" s="28"/>
      <x:c r="H10" s="28"/>
      <x:c r="I10" s="28"/>
      <x:c r="J10" s="28"/>
      <x:c r="K10" s="28"/>
      <x:c r="L10" s="28"/>
      <x:c r="M10" s="28"/>
      <x:c r="N10" s="28"/>
      <x:c r="O10" s="339"/>
      <x:c r="P10" s="339"/>
      <x:c r="Q10" s="339"/>
      <x:c r="R10" s="339"/>
      <x:c r="S10" s="339"/>
      <x:c r="T10" s="339"/>
      <x:c r="U10" s="1194"/>
      <x:c r="V10" s="1194"/>
      <x:c r="W10" s="1194"/>
      <x:c r="X10" s="1194"/>
      <x:c r="Y10" s="339"/>
      <x:c r="Z10" s="339"/>
    </x:row>
    <x:row r="11" ht="28" customHeight="1">
      <x:c r="A11" s="343" t="str">
        <x:v>Cost group</x:v>
      </x:c>
      <x:c r="B11" s="343" t="str">
        <x:v>Cost item</x:v>
      </x:c>
      <x:c r="C11" s="343" t="str">
        <x:v>Transparent cost basis</x:v>
      </x:c>
      <x:c r="D11" s="343" t="str">
        <x:v>Unit</x:v>
      </x:c>
      <x:c r="E11" s="343" t="str">
        <x:v>Rollout Year 1</x:v>
      </x:c>
      <x:c r="F11" s="343" t="str">
        <x:v>Rollout Year 2</x:v>
      </x:c>
      <x:c r="G11" s="343" t="str">
        <x:v>Rollout Year 3</x:v>
      </x:c>
      <x:c r="H11" s="343" t="str">
        <x:v>Rollout Year 4</x:v>
      </x:c>
      <x:c r="I11" s="343" t="str">
        <x:v>Rollout Year 5</x:v>
      </x:c>
      <x:c r="J11" s="343" t="str">
        <x:v>Five-year total</x:v>
      </x:c>
      <x:c r="K11" s="343" t="str">
        <x:v>Mature annual run-rate</x:v>
      </x:c>
      <x:c r="L11" s="343" t="str">
        <x:v>Source ID</x:v>
      </x:c>
      <x:c r="M11" s="343" t="str">
        <x:v>Evidence / validation</x:v>
      </x:c>
      <x:c r="N11" s="343" t="str">
        <x:v>Notes</x:v>
      </x:c>
      <x:c r="O11" s="339"/>
      <x:c r="P11" s="339"/>
      <x:c r="Q11" s="339"/>
      <x:c r="R11" s="339"/>
      <x:c r="S11" s="339"/>
      <x:c r="T11" s="339"/>
      <x:c r="U11" s="1194"/>
      <x:c r="V11" s="1194"/>
      <x:c r="W11" s="1194"/>
      <x:c r="X11" s="1194"/>
      <x:c r="Y11" s="339"/>
      <x:c r="Z11" s="339"/>
    </x:row>
    <x:row r="12" ht="21" customHeight="1">
      <x:c r="A12" s="368" t="str">
        <x:v>Participant payments</x:v>
      </x:c>
      <x:c r="B12" s="368" t="str">
        <x:v>Participant payments</x:v>
      </x:c>
      <x:c r="C12" s="368" t="str">
        <x:v>Participant payments</x:v>
      </x:c>
      <x:c r="D12" s="368" t="str">
        <x:v>Participant payments</x:v>
      </x:c>
      <x:c r="E12" s="413" t="str">
        <x:v>Participant payments</x:v>
      </x:c>
      <x:c r="F12" s="413" t="str">
        <x:v>Participant payments</x:v>
      </x:c>
      <x:c r="G12" s="413" t="str">
        <x:v>Participant payments</x:v>
      </x:c>
      <x:c r="H12" s="413" t="str">
        <x:v>Participant payments</x:v>
      </x:c>
      <x:c r="I12" s="413" t="str">
        <x:v>Participant payments</x:v>
      </x:c>
      <x:c r="J12" s="413" t="str">
        <x:v>Participant payments</x:v>
      </x:c>
      <x:c r="K12" s="413" t="str">
        <x:v>Participant payments</x:v>
      </x:c>
      <x:c r="L12" s="368" t="str">
        <x:v>Participant payments</x:v>
      </x:c>
      <x:c r="M12" s="368" t="str">
        <x:v>Participant payments</x:v>
      </x:c>
      <x:c r="N12" s="368" t="str">
        <x:v>Participant payments</x:v>
      </x:c>
      <x:c r="O12" s="339"/>
      <x:c r="P12" s="339"/>
      <x:c r="Q12" s="339"/>
      <x:c r="R12" s="339"/>
      <x:c r="S12" s="339"/>
      <x:c r="T12" s="339"/>
      <x:c r="U12" s="1194"/>
      <x:c r="V12" s="1194"/>
      <x:c r="W12" s="1194"/>
      <x:c r="X12" s="1194"/>
      <x:c r="Y12" s="339"/>
      <x:c r="Z12" s="339"/>
    </x:row>
    <x:row r="13">
      <x:c r="A13" s="28" t="str">
        <x:v>Participant payments</x:v>
      </x:c>
      <x:c r="B13" s="28" t="str">
        <x:v>Immediate-access participation payments</x:v>
      </x:c>
      <x:c r="C13" s="28" t="str">
        <x:v>Active students × weekly maximum × earned proportion × immediate share</x:v>
      </x:c>
      <x:c r="D13" s="28" t="str">
        <x:v>NZD/year</x:v>
      </x:c>
      <x:c r="E13" s="345" t="n">
        <x:f>Assumptions!$E$32*0.1*Assumptions!$E$35*Assumptions!$E$36*Assumptions!$E$37*(1-Assumptions!$E$55)</x:f>
        <x:v>60789885</x:v>
      </x:c>
      <x:c r="F13" s="345" t="n">
        <x:f>Assumptions!$E$32*0.3*Assumptions!$E$35*Assumptions!$E$36*Assumptions!$E$37*(1-Assumptions!$E$55)</x:f>
        <x:v>182369655</x:v>
      </x:c>
      <x:c r="G13" s="345" t="n">
        <x:f>Assumptions!$E$32*0.6*Assumptions!$E$35*Assumptions!$E$36*Assumptions!$E$37*(1-Assumptions!$E$55)</x:f>
        <x:v>364739310</x:v>
      </x:c>
      <x:c r="H13" s="345" t="n">
        <x:f>Assumptions!$E$32*0.85*Assumptions!$E$35*Assumptions!$E$36*Assumptions!$E$37*(1-Assumptions!$E$55)</x:f>
        <x:v>516714022.5</x:v>
      </x:c>
      <x:c r="I13" s="345" t="n">
        <x:f>Assumptions!$E$32*1.0*Assumptions!$E$35*Assumptions!$E$36*Assumptions!$E$37*(1-Assumptions!$E$55)</x:f>
        <x:v>607898850</x:v>
      </x:c>
      <x:c r="J13" s="345" t="n">
        <x:f>SUM(E13:I13)</x:f>
        <x:v>1732511722.5</x:v>
      </x:c>
      <x:c r="K13" s="345" t="n">
        <x:f>I13</x:f>
        <x:v>607898850</x:v>
      </x:c>
      <x:c r="L13" s="28" t="str">
        <x:v>S01;A06</x:v>
      </x:c>
      <x:c r="M13" s="28" t="str">
        <x:v>High uncertainty</x:v>
      </x:c>
      <x:c r="N13" s="28" t="str">
        <x:v>Both portions remain programme expenditure.</x:v>
      </x:c>
      <x:c r="O13" s="339"/>
      <x:c r="P13" s="339"/>
      <x:c r="Q13" s="339"/>
      <x:c r="R13" s="339"/>
      <x:c r="S13" s="339"/>
      <x:c r="T13" s="339"/>
      <x:c r="U13" s="1194"/>
      <x:c r="V13" s="1194"/>
      <x:c r="W13" s="1194"/>
      <x:c r="X13" s="1194"/>
      <x:c r="Y13" s="339"/>
      <x:c r="Z13" s="339"/>
    </x:row>
    <x:row r="14">
      <x:c r="A14" s="839" t="str">
        <x:v>Participant payments</x:v>
      </x:c>
      <x:c r="B14" s="839" t="str">
        <x:v>He Ara Angitū Learning Capital Account deposits</x:v>
      </x:c>
      <x:c r="C14" s="839" t="str">
        <x:v>Active students × weekly maximum × earned proportion × protected-account share</x:v>
      </x:c>
      <x:c r="D14" s="839" t="str">
        <x:v>NZD/year</x:v>
      </x:c>
      <x:c r="E14" s="843" t="n">
        <x:f>Assumptions!$E$32*0.1*Assumptions!$E$35*Assumptions!$E$36*Assumptions!$E$37*Assumptions!$E$55</x:f>
        <x:v>60789885</x:v>
      </x:c>
      <x:c r="F14" s="843" t="n">
        <x:f>Assumptions!$E$32*0.3*Assumptions!$E$35*Assumptions!$E$36*Assumptions!$E$37*Assumptions!$E$55</x:f>
        <x:v>182369655</x:v>
      </x:c>
      <x:c r="G14" s="843" t="n">
        <x:f>Assumptions!$E$32*0.6*Assumptions!$E$35*Assumptions!$E$36*Assumptions!$E$37*Assumptions!$E$55</x:f>
        <x:v>364739310</x:v>
      </x:c>
      <x:c r="H14" s="843" t="n">
        <x:f>Assumptions!$E$32*0.85*Assumptions!$E$35*Assumptions!$E$36*Assumptions!$E$37*Assumptions!$E$55</x:f>
        <x:v>516714022.5</x:v>
      </x:c>
      <x:c r="I14" s="843" t="n">
        <x:f>Assumptions!$E$32*1.0*Assumptions!$E$35*Assumptions!$E$36*Assumptions!$E$37*Assumptions!$E$55</x:f>
        <x:v>607898850</x:v>
      </x:c>
      <x:c r="J14" s="843" t="n">
        <x:f>SUM(E14:I14)</x:f>
        <x:v>1732511722.5</x:v>
      </x:c>
      <x:c r="K14" s="843" t="n">
        <x:f>I14</x:f>
        <x:v>607898850</x:v>
      </x:c>
      <x:c r="L14" s="839" t="str">
        <x:v>S01;A06;A15</x:v>
      </x:c>
      <x:c r="M14" s="839" t="str">
        <x:v>High uncertainty</x:v>
      </x:c>
      <x:c r="N14" s="839" t="str">
        <x:v>Protected education capital; no guaranteed return.</x:v>
      </x:c>
      <x:c r="O14" s="339"/>
      <x:c r="P14" s="339"/>
      <x:c r="Q14" s="339"/>
      <x:c r="R14" s="339"/>
      <x:c r="S14" s="339"/>
      <x:c r="T14" s="339"/>
      <x:c r="U14" s="1194"/>
      <x:c r="V14" s="1194"/>
      <x:c r="W14" s="1194"/>
      <x:c r="X14" s="1194"/>
      <x:c r="Y14" s="339"/>
      <x:c r="Z14" s="339"/>
    </x:row>
    <x:row r="15">
      <x:c r="A15" s="844" t="str">
        <x:v>Participant payments subtotal</x:v>
      </x:c>
      <x:c r="B15" s="844"/>
      <x:c r="C15" s="844"/>
      <x:c r="D15" s="844"/>
      <x:c r="E15" s="847" t="n">
        <x:f>SUM(E13:E14)</x:f>
        <x:v>121579770</x:v>
      </x:c>
      <x:c r="F15" s="847" t="n">
        <x:f>SUM(F13:F14)</x:f>
        <x:v>364739310</x:v>
      </x:c>
      <x:c r="G15" s="847" t="n">
        <x:f>SUM(G13:G14)</x:f>
        <x:v>729478620</x:v>
      </x:c>
      <x:c r="H15" s="847" t="n">
        <x:f>SUM(H13:H14)</x:f>
        <x:v>1033428045</x:v>
      </x:c>
      <x:c r="I15" s="847" t="n">
        <x:f>SUM(I13:I14)</x:f>
        <x:v>1215797700</x:v>
      </x:c>
      <x:c r="J15" s="847" t="n">
        <x:f>SUM(E15:I15)</x:f>
        <x:v>3465023445</x:v>
      </x:c>
      <x:c r="K15" s="847" t="n">
        <x:f>SUM(K13:K14)</x:f>
        <x:v>1215797700</x:v>
      </x:c>
      <x:c r="L15" s="844"/>
      <x:c r="M15" s="844"/>
      <x:c r="N15" s="844"/>
      <x:c r="O15" s="339"/>
      <x:c r="P15" s="339"/>
      <x:c r="Q15" s="339"/>
      <x:c r="R15" s="339"/>
      <x:c r="S15" s="339"/>
      <x:c r="T15" s="339"/>
      <x:c r="U15" s="1194"/>
      <x:c r="V15" s="1194"/>
      <x:c r="W15" s="1194"/>
      <x:c r="X15" s="1194"/>
      <x:c r="Y15" s="339"/>
      <x:c r="Z15" s="339"/>
    </x:row>
    <x:row r="16" ht="21" customHeight="1">
      <x:c r="A16" s="368" t="str">
        <x:v>Delivery staffing</x:v>
      </x:c>
      <x:c r="B16" s="368" t="str">
        <x:v>Delivery staffing</x:v>
      </x:c>
      <x:c r="C16" s="368" t="str">
        <x:v>Delivery staffing</x:v>
      </x:c>
      <x:c r="D16" s="368" t="str">
        <x:v>Delivery staffing</x:v>
      </x:c>
      <x:c r="E16" s="413" t="str">
        <x:v>Delivery staffing</x:v>
      </x:c>
      <x:c r="F16" s="413" t="str">
        <x:v>Delivery staffing</x:v>
      </x:c>
      <x:c r="G16" s="413" t="str">
        <x:v>Delivery staffing</x:v>
      </x:c>
      <x:c r="H16" s="413" t="str">
        <x:v>Delivery staffing</x:v>
      </x:c>
      <x:c r="I16" s="413" t="str">
        <x:v>Delivery staffing</x:v>
      </x:c>
      <x:c r="J16" s="413" t="str">
        <x:v>Delivery staffing</x:v>
      </x:c>
      <x:c r="K16" s="413" t="str">
        <x:v>Delivery staffing</x:v>
      </x:c>
      <x:c r="L16" s="368" t="str">
        <x:v>Delivery staffing</x:v>
      </x:c>
      <x:c r="M16" s="368" t="str">
        <x:v>Delivery staffing</x:v>
      </x:c>
      <x:c r="N16" s="368" t="str">
        <x:v>Delivery staffing</x:v>
      </x:c>
      <x:c r="O16" s="339"/>
      <x:c r="P16" s="339"/>
      <x:c r="Q16" s="339"/>
      <x:c r="R16" s="339"/>
      <x:c r="S16" s="339"/>
      <x:c r="T16" s="339"/>
      <x:c r="U16" s="1194"/>
      <x:c r="V16" s="1194"/>
      <x:c r="W16" s="1194"/>
      <x:c r="X16" s="1194"/>
      <x:c r="Y16" s="339"/>
      <x:c r="Z16" s="339"/>
    </x:row>
    <x:row r="17">
      <x:c r="A17" s="28" t="str">
        <x:v>Delivery staffing</x:v>
      </x:c>
      <x:c r="B17" s="28" t="str">
        <x:v>School Programme Coordinators</x:v>
      </x:c>
      <x:c r="C17" s="28" t="str">
        <x:v>Active students ÷ 600 × $115,000</x:v>
      </x:c>
      <x:c r="D17" s="28" t="str">
        <x:v>NZD/year</x:v>
      </x:c>
      <x:c r="E17" s="416" t="n">
        <x:f>((Assumptions!$E$32*0.1)/Assumptions!$E$38)*Assumptions!$E$39</x:f>
        <x:v>5975074.166666667</x:v>
      </x:c>
      <x:c r="F17" s="416" t="n">
        <x:f>((Assumptions!$E$32*0.3)/Assumptions!$E$38)*Assumptions!$E$39</x:f>
        <x:v>17925222.5</x:v>
      </x:c>
      <x:c r="G17" s="416" t="n">
        <x:f>((Assumptions!$E$32*0.6)/Assumptions!$E$38)*Assumptions!$E$39</x:f>
        <x:v>35850445</x:v>
      </x:c>
      <x:c r="H17" s="416" t="n">
        <x:f>((Assumptions!$E$32*0.85)/Assumptions!$E$38)*Assumptions!$E$39</x:f>
        <x:v>50788130.416666664</x:v>
      </x:c>
      <x:c r="I17" s="416" t="n">
        <x:f>((Assumptions!$E$32*1.0)/Assumptions!$E$38)*Assumptions!$E$39</x:f>
        <x:v>59750741.66666667</x:v>
      </x:c>
      <x:c r="J17" s="416" t="n">
        <x:f>SUM(E17:I17)</x:f>
        <x:v>170289613.75</x:v>
      </x:c>
      <x:c r="K17" s="416" t="n">
        <x:f>I17</x:f>
        <x:v>59750741.66666667</x:v>
      </x:c>
      <x:c r="L17" s="35" t="str">
        <x:v>S01;S09;S11</x:v>
      </x:c>
      <x:c r="M17" s="35" t="str">
        <x:v>Workload test required</x:v>
      </x:c>
      <x:c r="N17" s="35" t="str">
        <x:v>Fractional FTE shown for planning.</x:v>
      </x:c>
      <x:c r="O17" s="339"/>
      <x:c r="P17" s="339"/>
      <x:c r="Q17" s="339"/>
      <x:c r="R17" s="339"/>
      <x:c r="S17" s="339"/>
      <x:c r="T17" s="339"/>
      <x:c r="U17" s="1194"/>
      <x:c r="V17" s="1194"/>
      <x:c r="W17" s="1194"/>
      <x:c r="X17" s="1194"/>
      <x:c r="Y17" s="339"/>
      <x:c r="Z17" s="339"/>
    </x:row>
    <x:row r="18">
      <x:c r="A18" s="28" t="str">
        <x:v>Delivery staffing</x:v>
      </x:c>
      <x:c r="B18" s="28" t="str">
        <x:v>Regional Delivery Managers</x:v>
      </x:c>
      <x:c r="C18" s="28" t="str">
        <x:v>8 base + 16 scaled FTE × $175,000</x:v>
      </x:c>
      <x:c r="D18" s="28" t="str">
        <x:v>NZD/year</x:v>
      </x:c>
      <x:c r="E18" s="423" t="n">
        <x:f>(8+16*0.1)*175000</x:f>
        <x:v>1680000</x:v>
      </x:c>
      <x:c r="F18" s="423" t="n">
        <x:f>(8+16*0.3)*175000</x:f>
        <x:v>2240000</x:v>
      </x:c>
      <x:c r="G18" s="423" t="n">
        <x:f>(8+16*0.6)*175000</x:f>
        <x:v>3080000.0000000005</x:v>
      </x:c>
      <x:c r="H18" s="423" t="n">
        <x:f>(8+16*0.85)*175000</x:f>
        <x:v>3780000.0000000005</x:v>
      </x:c>
      <x:c r="I18" s="423" t="n">
        <x:f>(8+16*1.0)*175000</x:f>
        <x:v>4200000</x:v>
      </x:c>
      <x:c r="J18" s="423" t="n">
        <x:f>SUM(E18:I18)</x:f>
        <x:v>14980000</x:v>
      </x:c>
      <x:c r="K18" s="423" t="n">
        <x:f>I18</x:f>
        <x:v>4200000</x:v>
      </x:c>
      <x:c r="L18" s="28" t="str">
        <x:v>S09;S10</x:v>
      </x:c>
      <x:c r="M18" s="28" t="str">
        <x:v>Model assumption</x:v>
      </x:c>
      <x:c r="N18" s="28" t="str">
        <x:v>Full rollout assumes 24 FTE across regions.</x:v>
      </x:c>
      <x:c r="O18" s="339"/>
      <x:c r="P18" s="339"/>
      <x:c r="Q18" s="339"/>
      <x:c r="R18" s="339"/>
      <x:c r="S18" s="339"/>
      <x:c r="T18" s="339"/>
      <x:c r="U18" s="1194"/>
      <x:c r="V18" s="1194"/>
      <x:c r="W18" s="1194"/>
      <x:c r="X18" s="1194"/>
      <x:c r="Y18" s="339"/>
      <x:c r="Z18" s="339"/>
    </x:row>
    <x:row r="19">
      <x:c r="A19" s="28" t="str">
        <x:v>Delivery staffing</x:v>
      </x:c>
      <x:c r="B19" s="28" t="str">
        <x:v>Safeguarding and Mentor Supervisors</x:v>
      </x:c>
      <x:c r="C19" s="28" t="str">
        <x:v>Active students ÷ 4,000 × $130,000</x:v>
      </x:c>
      <x:c r="D19" s="28" t="str">
        <x:v>NZD/year</x:v>
      </x:c>
      <x:c r="E19" s="423" t="n">
        <x:f>((Assumptions!$E$32*0.1)/4000)*130000</x:f>
        <x:v>1013164.7500000001</x:v>
      </x:c>
      <x:c r="F19" s="423" t="n">
        <x:f>((Assumptions!$E$32*0.3)/4000)*130000</x:f>
        <x:v>3039494.2499999995</x:v>
      </x:c>
      <x:c r="G19" s="423" t="n">
        <x:f>((Assumptions!$E$32*0.6)/4000)*130000</x:f>
        <x:v>6078988.499999999</x:v>
      </x:c>
      <x:c r="H19" s="423" t="n">
        <x:f>((Assumptions!$E$32*0.85)/4000)*130000</x:f>
        <x:v>8611900.374999998</x:v>
      </x:c>
      <x:c r="I19" s="423" t="n">
        <x:f>((Assumptions!$E$32*1.0)/4000)*130000</x:f>
        <x:v>10131647.5</x:v>
      </x:c>
      <x:c r="J19" s="423" t="n">
        <x:f>SUM(E19:I19)</x:f>
        <x:v>28875195.374999996</x:v>
      </x:c>
      <x:c r="K19" s="423" t="n">
        <x:f>I19</x:f>
        <x:v>10131647.5</x:v>
      </x:c>
      <x:c r="L19" s="28" t="str">
        <x:v>S01;S09</x:v>
      </x:c>
      <x:c r="M19" s="28" t="str">
        <x:v>Model assumption</x:v>
      </x:c>
      <x:c r="N19" s="28" t="str">
        <x:v>Confirm mentor model and caseload.</x:v>
      </x:c>
      <x:c r="O19" s="339"/>
      <x:c r="P19" s="339"/>
      <x:c r="Q19" s="339"/>
      <x:c r="R19" s="339"/>
      <x:c r="S19" s="339"/>
      <x:c r="T19" s="339"/>
      <x:c r="U19" s="1194"/>
      <x:c r="V19" s="1194"/>
      <x:c r="W19" s="1194"/>
      <x:c r="X19" s="1194"/>
      <x:c r="Y19" s="339"/>
      <x:c r="Z19" s="339"/>
    </x:row>
    <x:row r="20">
      <x:c r="A20" s="28" t="str">
        <x:v>Delivery staffing</x:v>
      </x:c>
      <x:c r="B20" s="28" t="str">
        <x:v>Employer / Community Partnership Coordinators</x:v>
      </x:c>
      <x:c r="C20" s="28" t="str">
        <x:v>Active students ÷ 5,000 × $125,000</x:v>
      </x:c>
      <x:c r="D20" s="28" t="str">
        <x:v>NZD/year</x:v>
      </x:c>
      <x:c r="E20" s="423" t="n">
        <x:f>((Assumptions!$E$32*0.1)/5000)*125000</x:f>
        <x:v>779357.5</x:v>
      </x:c>
      <x:c r="F20" s="423" t="n">
        <x:f>((Assumptions!$E$32*0.3)/5000)*125000</x:f>
        <x:v>2338072.5</x:v>
      </x:c>
      <x:c r="G20" s="423" t="n">
        <x:f>((Assumptions!$E$32*0.6)/5000)*125000</x:f>
        <x:v>4676145</x:v>
      </x:c>
      <x:c r="H20" s="423" t="n">
        <x:f>((Assumptions!$E$32*0.85)/5000)*125000</x:f>
        <x:v>6624538.75</x:v>
      </x:c>
      <x:c r="I20" s="423" t="n">
        <x:f>((Assumptions!$E$32*1.0)/5000)*125000</x:f>
        <x:v>7793575</x:v>
      </x:c>
      <x:c r="J20" s="423" t="n">
        <x:f>SUM(E20:I20)</x:f>
        <x:v>22211688.75</x:v>
      </x:c>
      <x:c r="K20" s="423" t="n">
        <x:f>I20</x:f>
        <x:v>7793575</x:v>
      </x:c>
      <x:c r="L20" s="28" t="str">
        <x:v>S01;S09</x:v>
      </x:c>
      <x:c r="M20" s="28" t="str">
        <x:v>Model assumption</x:v>
      </x:c>
      <x:c r="N20" s="28" t="str">
        <x:v>Confirm regional partnership model.</x:v>
      </x:c>
      <x:c r="O20" s="339"/>
      <x:c r="P20" s="339"/>
      <x:c r="Q20" s="339"/>
      <x:c r="R20" s="339"/>
      <x:c r="S20" s="339"/>
      <x:c r="T20" s="339"/>
      <x:c r="U20" s="1194"/>
      <x:c r="V20" s="1194"/>
      <x:c r="W20" s="1194"/>
      <x:c r="X20" s="1194"/>
      <x:c r="Y20" s="339"/>
      <x:c r="Z20" s="339"/>
    </x:row>
    <x:row r="21">
      <x:c r="A21" s="28" t="str">
        <x:v>Delivery staffing</x:v>
      </x:c>
      <x:c r="B21" s="28" t="str">
        <x:v>National Programme, Data, Finance and Policy Team</x:v>
      </x:c>
      <x:c r="C21" s="28" t="str">
        <x:v>24 base + 36 scaled FTE × $145,000</x:v>
      </x:c>
      <x:c r="D21" s="28" t="str">
        <x:v>NZD/year</x:v>
      </x:c>
      <x:c r="E21" s="423" t="n">
        <x:f>(24+36*0.1)*145000</x:f>
        <x:v>4002000</x:v>
      </x:c>
      <x:c r="F21" s="423" t="n">
        <x:f>(24+36*0.3)*145000</x:f>
        <x:v>5046000</x:v>
      </x:c>
      <x:c r="G21" s="423" t="n">
        <x:f>(24+36*0.6)*145000</x:f>
        <x:v>6611999.999999999</x:v>
      </x:c>
      <x:c r="H21" s="423" t="n">
        <x:f>(24+36*0.85)*145000</x:f>
        <x:v>7916999.999999999</x:v>
      </x:c>
      <x:c r="I21" s="423" t="n">
        <x:f>(24+36*1.0)*145000</x:f>
        <x:v>8700000</x:v>
      </x:c>
      <x:c r="J21" s="423" t="n">
        <x:f>SUM(E21:I21)</x:f>
        <x:v>32277000</x:v>
      </x:c>
      <x:c r="K21" s="423" t="n">
        <x:f>I21</x:f>
        <x:v>8700000</x:v>
      </x:c>
      <x:c r="L21" s="28" t="str">
        <x:v>S09;S10;S12;S13</x:v>
      </x:c>
      <x:c r="M21" s="28" t="str">
        <x:v>Model assumption</x:v>
      </x:c>
      <x:c r="N21" s="28" t="str">
        <x:v>Includes programme controls and data operations.</x:v>
      </x:c>
      <x:c r="O21" s="339"/>
      <x:c r="P21" s="339"/>
      <x:c r="Q21" s="339"/>
      <x:c r="R21" s="339"/>
      <x:c r="S21" s="339"/>
      <x:c r="T21" s="339"/>
      <x:c r="U21" s="1194"/>
      <x:c r="V21" s="1194"/>
      <x:c r="W21" s="1194"/>
      <x:c r="X21" s="1194"/>
      <x:c r="Y21" s="339"/>
      <x:c r="Z21" s="339"/>
    </x:row>
    <x:row r="22">
      <x:c r="A22" s="28" t="str">
        <x:v>Delivery staffing</x:v>
      </x:c>
      <x:c r="B22" s="28" t="str">
        <x:v>Support Desk and Payment Operations</x:v>
      </x:c>
      <x:c r="C22" s="28" t="str">
        <x:v>Active students ÷ 10,000 × $100,000</x:v>
      </x:c>
      <x:c r="D22" s="28" t="str">
        <x:v>NZD/year</x:v>
      </x:c>
      <x:c r="E22" s="423" t="n">
        <x:f>((Assumptions!$E$32*0.1)/10000)*100000</x:f>
        <x:v>311743</x:v>
      </x:c>
      <x:c r="F22" s="423" t="n">
        <x:f>((Assumptions!$E$32*0.3)/10000)*100000</x:f>
        <x:v>935229</x:v>
      </x:c>
      <x:c r="G22" s="423" t="n">
        <x:f>((Assumptions!$E$32*0.6)/10000)*100000</x:f>
        <x:v>1870458</x:v>
      </x:c>
      <x:c r="H22" s="423" t="n">
        <x:f>((Assumptions!$E$32*0.85)/10000)*100000</x:f>
        <x:v>2649815.5</x:v>
      </x:c>
      <x:c r="I22" s="423" t="n">
        <x:f>((Assumptions!$E$32*1.0)/10000)*100000</x:f>
        <x:v>3117430</x:v>
      </x:c>
      <x:c r="J22" s="423" t="n">
        <x:f>SUM(E22:I22)</x:f>
        <x:v>8884675.5</x:v>
      </x:c>
      <x:c r="K22" s="423" t="n">
        <x:f>I22</x:f>
        <x:v>3117430</x:v>
      </x:c>
      <x:c r="L22" s="28" t="str">
        <x:v>S18;A05</x:v>
      </x:c>
      <x:c r="M22" s="28" t="str">
        <x:v>Model assumption</x:v>
      </x:c>
      <x:c r="N22" s="28" t="str">
        <x:v>Formal payment-agency estimate still required.</x:v>
      </x:c>
      <x:c r="O22" s="339"/>
      <x:c r="P22" s="339"/>
      <x:c r="Q22" s="339"/>
      <x:c r="R22" s="339"/>
      <x:c r="S22" s="339"/>
      <x:c r="T22" s="339"/>
      <x:c r="U22" s="1194"/>
      <x:c r="V22" s="1194"/>
      <x:c r="W22" s="1194"/>
      <x:c r="X22" s="1194"/>
      <x:c r="Y22" s="339"/>
      <x:c r="Z22" s="339"/>
    </x:row>
    <x:row r="23">
      <x:c r="A23" s="373" t="str">
        <x:v>Delivery staffing subtotal</x:v>
      </x:c>
      <x:c r="B23" s="373"/>
      <x:c r="C23" s="373"/>
      <x:c r="D23" s="373"/>
      <x:c r="E23" s="420" t="n">
        <x:f>SUM(E17:E22)</x:f>
        <x:v>13761339.416666668</x:v>
      </x:c>
      <x:c r="F23" s="420" t="n">
        <x:f>SUM(F17:F22)</x:f>
        <x:v>31524018.25</x:v>
      </x:c>
      <x:c r="G23" s="420" t="n">
        <x:f>SUM(G17:G22)</x:f>
        <x:v>58168036.5</x:v>
      </x:c>
      <x:c r="H23" s="420" t="n">
        <x:f>SUM(H17:H22)</x:f>
        <x:v>80371385.04166666</x:v>
      </x:c>
      <x:c r="I23" s="420" t="n">
        <x:f>SUM(I17:I22)</x:f>
        <x:v>93693394.16666667</x:v>
      </x:c>
      <x:c r="J23" s="420" t="n">
        <x:f>SUM(J17:J22)</x:f>
        <x:v>277518173.375</x:v>
      </x:c>
      <x:c r="K23" s="420" t="n">
        <x:f>SUM(K17:K22)</x:f>
        <x:v>93693394.16666667</x:v>
      </x:c>
      <x:c r="L23" s="373"/>
      <x:c r="M23" s="373"/>
      <x:c r="N23" s="373"/>
      <x:c r="O23" s="339"/>
      <x:c r="P23" s="339"/>
      <x:c r="Q23" s="339"/>
      <x:c r="R23" s="339"/>
      <x:c r="S23" s="339"/>
      <x:c r="T23" s="339"/>
      <x:c r="U23" s="1194"/>
      <x:c r="V23" s="1194"/>
      <x:c r="W23" s="1194"/>
      <x:c r="X23" s="1194"/>
      <x:c r="Y23" s="339"/>
      <x:c r="Z23" s="339"/>
    </x:row>
    <x:row r="24">
      <x:c r="A24" s="28"/>
      <x:c r="B24" s="28"/>
      <x:c r="C24" s="28"/>
      <x:c r="D24" s="28"/>
      <x:c r="E24" s="423"/>
      <x:c r="F24" s="423"/>
      <x:c r="G24" s="423"/>
      <x:c r="H24" s="423"/>
      <x:c r="I24" s="423"/>
      <x:c r="J24" s="423"/>
      <x:c r="K24" s="423"/>
      <x:c r="L24" s="28"/>
      <x:c r="M24" s="28"/>
      <x:c r="N24" s="28"/>
      <x:c r="O24" s="339"/>
      <x:c r="P24" s="339"/>
      <x:c r="Q24" s="339"/>
      <x:c r="R24" s="339"/>
      <x:c r="S24" s="339"/>
      <x:c r="T24" s="339"/>
      <x:c r="U24" s="1194"/>
      <x:c r="V24" s="1194"/>
      <x:c r="W24" s="1194"/>
      <x:c r="X24" s="1194"/>
      <x:c r="Y24" s="339"/>
      <x:c r="Z24" s="339"/>
    </x:row>
    <x:row r="25" ht="21" customHeight="1">
      <x:c r="A25" s="368" t="str">
        <x:v>Schools, mentoring &amp; access</x:v>
      </x:c>
      <x:c r="B25" s="368" t="str">
        <x:v>Schools, mentoring &amp; access</x:v>
      </x:c>
      <x:c r="C25" s="368" t="str">
        <x:v>Schools, mentoring &amp; access</x:v>
      </x:c>
      <x:c r="D25" s="368" t="str">
        <x:v>Schools, mentoring &amp; access</x:v>
      </x:c>
      <x:c r="E25" s="413" t="str">
        <x:v>Schools, mentoring &amp; access</x:v>
      </x:c>
      <x:c r="F25" s="413" t="str">
        <x:v>Schools, mentoring &amp; access</x:v>
      </x:c>
      <x:c r="G25" s="413" t="str">
        <x:v>Schools, mentoring &amp; access</x:v>
      </x:c>
      <x:c r="H25" s="413" t="str">
        <x:v>Schools, mentoring &amp; access</x:v>
      </x:c>
      <x:c r="I25" s="413" t="str">
        <x:v>Schools, mentoring &amp; access</x:v>
      </x:c>
      <x:c r="J25" s="413" t="str">
        <x:v>Schools, mentoring &amp; access</x:v>
      </x:c>
      <x:c r="K25" s="413" t="str">
        <x:v>Schools, mentoring &amp; access</x:v>
      </x:c>
      <x:c r="L25" s="368" t="str">
        <x:v>Schools, mentoring &amp; access</x:v>
      </x:c>
      <x:c r="M25" s="368" t="str">
        <x:v>Schools, mentoring &amp; access</x:v>
      </x:c>
      <x:c r="N25" s="368" t="str">
        <x:v>Schools, mentoring &amp; access</x:v>
      </x:c>
      <x:c r="O25" s="339"/>
      <x:c r="P25" s="339"/>
      <x:c r="Q25" s="339"/>
      <x:c r="R25" s="339"/>
      <x:c r="S25" s="339"/>
      <x:c r="T25" s="339"/>
      <x:c r="U25" s="1194"/>
      <x:c r="V25" s="1194"/>
      <x:c r="W25" s="1194"/>
      <x:c r="X25" s="1194"/>
      <x:c r="Y25" s="339"/>
      <x:c r="Z25" s="339"/>
    </x:row>
    <x:row r="26">
      <x:c r="A26" s="28" t="str">
        <x:v>Schools, mentoring &amp; access</x:v>
      </x:c>
      <x:c r="B26" s="28" t="str">
        <x:v>School capacity grants</x:v>
      </x:c>
      <x:c r="C26" s="28" t="str">
        <x:v>Active schools × $80,000</x:v>
      </x:c>
      <x:c r="D26" s="28" t="str">
        <x:v>NZD/year</x:v>
      </x:c>
      <x:c r="E26" s="416" t="n">
        <x:f>(Assumptions!$E$34*0.1)*80000</x:f>
        <x:v>4000000</x:v>
      </x:c>
      <x:c r="F26" s="416" t="n">
        <x:f>(Assumptions!$E$34*0.3)*80000</x:f>
        <x:v>12000000</x:v>
      </x:c>
      <x:c r="G26" s="416" t="n">
        <x:f>(Assumptions!$E$34*0.6)*80000</x:f>
        <x:v>24000000</x:v>
      </x:c>
      <x:c r="H26" s="416" t="n">
        <x:f>(Assumptions!$E$34*0.85)*80000</x:f>
        <x:v>34000000</x:v>
      </x:c>
      <x:c r="I26" s="416" t="n">
        <x:f>(Assumptions!$E$34*1.0)*80000</x:f>
        <x:v>40000000</x:v>
      </x:c>
      <x:c r="J26" s="416" t="n">
        <x:f>SUM(E26:I26)</x:f>
        <x:v>114000000</x:v>
      </x:c>
      <x:c r="K26" s="416" t="n">
        <x:f>I26</x:f>
        <x:v>40000000</x:v>
      </x:c>
      <x:c r="L26" s="35" t="str">
        <x:v>A03</x:v>
      </x:c>
      <x:c r="M26" s="35" t="str">
        <x:v>School validation required</x:v>
      </x:c>
      <x:c r="N26" s="35" t="str">
        <x:v>Ongoing capacity, not a teacher paperwork assumption.</x:v>
      </x:c>
      <x:c r="O26" s="339"/>
      <x:c r="P26" s="339"/>
      <x:c r="Q26" s="339"/>
      <x:c r="R26" s="339"/>
      <x:c r="S26" s="339"/>
      <x:c r="T26" s="339"/>
      <x:c r="U26" s="1194"/>
      <x:c r="V26" s="1194"/>
      <x:c r="W26" s="1194"/>
      <x:c r="X26" s="1194"/>
      <x:c r="Y26" s="339"/>
      <x:c r="Z26" s="339"/>
    </x:row>
    <x:row r="27">
      <x:c r="A27" s="28" t="str">
        <x:v>Schools, mentoring &amp; access</x:v>
      </x:c>
      <x:c r="B27" s="28" t="str">
        <x:v>Mentoring, whānau, transport and community participation</x:v>
      </x:c>
      <x:c r="C27" s="28" t="str">
        <x:v>Active students × $250</x:v>
      </x:c>
      <x:c r="D27" s="28" t="str">
        <x:v>NZD/year</x:v>
      </x:c>
      <x:c r="E27" s="416" t="n">
        <x:f>(Assumptions!$E$32*0.1)*250</x:f>
        <x:v>7793575.000000001</x:v>
      </x:c>
      <x:c r="F27" s="416" t="n">
        <x:f>(Assumptions!$E$32*0.3)*250</x:f>
        <x:v>23380725</x:v>
      </x:c>
      <x:c r="G27" s="416" t="n">
        <x:f>(Assumptions!$E$32*0.6)*250</x:f>
        <x:v>46761450</x:v>
      </x:c>
      <x:c r="H27" s="416" t="n">
        <x:f>(Assumptions!$E$32*0.85)*250</x:f>
        <x:v>66245387.5</x:v>
      </x:c>
      <x:c r="I27" s="416" t="n">
        <x:f>(Assumptions!$E$32*1.0)*250</x:f>
        <x:v>77935750</x:v>
      </x:c>
      <x:c r="J27" s="416" t="n">
        <x:f>SUM(E27:I27)</x:f>
        <x:v>222116887.5</x:v>
      </x:c>
      <x:c r="K27" s="416" t="n">
        <x:f>I27</x:f>
        <x:v>77935750</x:v>
      </x:c>
      <x:c r="L27" s="35" t="str">
        <x:v>A02</x:v>
      </x:c>
      <x:c r="M27" s="35" t="str">
        <x:v>Policy allowance</x:v>
      </x:c>
      <x:c r="N27" s="35" t="str">
        <x:v>Requires equity and regional allocation rules.</x:v>
      </x:c>
      <x:c r="O27" s="339"/>
      <x:c r="P27" s="339"/>
      <x:c r="Q27" s="339"/>
      <x:c r="R27" s="339"/>
      <x:c r="S27" s="339"/>
      <x:c r="T27" s="339"/>
      <x:c r="U27" s="1194"/>
      <x:c r="V27" s="1194"/>
      <x:c r="W27" s="1194"/>
      <x:c r="X27" s="1194"/>
      <x:c r="Y27" s="339"/>
      <x:c r="Z27" s="339"/>
    </x:row>
    <x:row r="28">
      <x:c r="A28" s="373" t="str">
        <x:v>Schools, mentoring &amp; access subtotal</x:v>
      </x:c>
      <x:c r="B28" s="373"/>
      <x:c r="C28" s="373"/>
      <x:c r="D28" s="373"/>
      <x:c r="E28" s="420" t="n">
        <x:f>SUM(E26:E27)</x:f>
        <x:v>11793575</x:v>
      </x:c>
      <x:c r="F28" s="420" t="n">
        <x:f>SUM(F26:F27)</x:f>
        <x:v>35380725</x:v>
      </x:c>
      <x:c r="G28" s="420" t="n">
        <x:f>SUM(G26:G27)</x:f>
        <x:v>70761450</x:v>
      </x:c>
      <x:c r="H28" s="420" t="n">
        <x:f>SUM(H26:H27)</x:f>
        <x:v>100245387.5</x:v>
      </x:c>
      <x:c r="I28" s="420" t="n">
        <x:f>SUM(I26:I27)</x:f>
        <x:v>117935750</x:v>
      </x:c>
      <x:c r="J28" s="420" t="n">
        <x:f>SUM(J26:J27)</x:f>
        <x:v>336116887.5</x:v>
      </x:c>
      <x:c r="K28" s="420" t="n">
        <x:f>SUM(K26:K27)</x:f>
        <x:v>117935750</x:v>
      </x:c>
      <x:c r="L28" s="373"/>
      <x:c r="M28" s="373"/>
      <x:c r="N28" s="373"/>
      <x:c r="O28" s="339"/>
      <x:c r="P28" s="339"/>
      <x:c r="Q28" s="339"/>
      <x:c r="R28" s="339"/>
      <x:c r="S28" s="339"/>
      <x:c r="T28" s="339"/>
      <x:c r="U28" s="1194"/>
      <x:c r="V28" s="1194"/>
      <x:c r="W28" s="1194"/>
      <x:c r="X28" s="1194"/>
      <x:c r="Y28" s="339"/>
      <x:c r="Z28" s="339"/>
    </x:row>
    <x:row r="29">
      <x:c r="A29" s="28"/>
      <x:c r="B29" s="28"/>
      <x:c r="C29" s="28"/>
      <x:c r="D29" s="28"/>
      <x:c r="E29" s="423"/>
      <x:c r="F29" s="423"/>
      <x:c r="G29" s="423"/>
      <x:c r="H29" s="423"/>
      <x:c r="I29" s="423"/>
      <x:c r="J29" s="423"/>
      <x:c r="K29" s="423"/>
      <x:c r="L29" s="28"/>
      <x:c r="M29" s="28"/>
      <x:c r="N29" s="28"/>
      <x:c r="O29" s="339"/>
      <x:c r="P29" s="339"/>
      <x:c r="Q29" s="339"/>
      <x:c r="R29" s="339"/>
      <x:c r="S29" s="339"/>
      <x:c r="T29" s="339"/>
      <x:c r="U29" s="1194"/>
      <x:c r="V29" s="1194"/>
      <x:c r="W29" s="1194"/>
      <x:c r="X29" s="1194"/>
      <x:c r="Y29" s="339"/>
      <x:c r="Z29" s="339"/>
    </x:row>
    <x:row r="30" ht="21" customHeight="1">
      <x:c r="A30" s="368" t="str">
        <x:v>Technology &amp; payment services</x:v>
      </x:c>
      <x:c r="B30" s="368" t="str">
        <x:v>Technology &amp; payment services</x:v>
      </x:c>
      <x:c r="C30" s="368" t="str">
        <x:v>Technology &amp; payment services</x:v>
      </x:c>
      <x:c r="D30" s="368" t="str">
        <x:v>Technology &amp; payment services</x:v>
      </x:c>
      <x:c r="E30" s="413" t="str">
        <x:v>Technology &amp; payment services</x:v>
      </x:c>
      <x:c r="F30" s="413" t="str">
        <x:v>Technology &amp; payment services</x:v>
      </x:c>
      <x:c r="G30" s="413" t="str">
        <x:v>Technology &amp; payment services</x:v>
      </x:c>
      <x:c r="H30" s="413" t="str">
        <x:v>Technology &amp; payment services</x:v>
      </x:c>
      <x:c r="I30" s="413" t="str">
        <x:v>Technology &amp; payment services</x:v>
      </x:c>
      <x:c r="J30" s="413" t="str">
        <x:v>Technology &amp; payment services</x:v>
      </x:c>
      <x:c r="K30" s="413" t="str">
        <x:v>Technology &amp; payment services</x:v>
      </x:c>
      <x:c r="L30" s="368" t="str">
        <x:v>Technology &amp; payment services</x:v>
      </x:c>
      <x:c r="M30" s="368" t="str">
        <x:v>Technology &amp; payment services</x:v>
      </x:c>
      <x:c r="N30" s="368" t="str">
        <x:v>Technology &amp; payment services</x:v>
      </x:c>
      <x:c r="O30" s="339"/>
      <x:c r="P30" s="339"/>
      <x:c r="Q30" s="339"/>
      <x:c r="R30" s="339"/>
      <x:c r="S30" s="339"/>
      <x:c r="T30" s="339"/>
      <x:c r="U30" s="1194"/>
      <x:c r="V30" s="1194"/>
      <x:c r="W30" s="1194"/>
      <x:c r="X30" s="1194"/>
      <x:c r="Y30" s="339"/>
      <x:c r="Z30" s="339"/>
    </x:row>
    <x:row r="31">
      <x:c r="A31" s="28" t="str">
        <x:v>Technology &amp; payment services</x:v>
      </x:c>
      <x:c r="B31" s="28" t="str">
        <x:v>National platform and integration enhancement</x:v>
      </x:c>
      <x:c r="C31" s="28" t="str">
        <x:v>$30m → $12m as rollout matures</x:v>
      </x:c>
      <x:c r="D31" s="28" t="str">
        <x:v>NZD/year</x:v>
      </x:c>
      <x:c r="E31" s="416" t="n">
        <x:f>30000000</x:f>
        <x:v>30000000</x:v>
      </x:c>
      <x:c r="F31" s="416" t="n">
        <x:f>25000000</x:f>
        <x:v>25000000</x:v>
      </x:c>
      <x:c r="G31" s="416" t="n">
        <x:f>20000000</x:f>
        <x:v>20000000</x:v>
      </x:c>
      <x:c r="H31" s="416" t="n">
        <x:f>15000000</x:f>
        <x:v>15000000</x:v>
      </x:c>
      <x:c r="I31" s="416" t="n">
        <x:f>12000000</x:f>
        <x:v>12000000</x:v>
      </x:c>
      <x:c r="J31" s="416" t="n">
        <x:f>SUM(E31:I31)</x:f>
        <x:v>102000000</x:v>
      </x:c>
      <x:c r="K31" s="416" t="n">
        <x:f>I31</x:f>
        <x:v>12000000</x:v>
      </x:c>
      <x:c r="L31" s="35" t="str">
        <x:v>A04;S16;S18;S19</x:v>
      </x:c>
      <x:c r="M31" s="35" t="str">
        <x:v>Quote required</x:v>
      </x:c>
      <x:c r="N31" s="35" t="str">
        <x:v>Production scale, security and integrations.</x:v>
      </x:c>
      <x:c r="O31" s="339"/>
      <x:c r="P31" s="339"/>
      <x:c r="Q31" s="339"/>
      <x:c r="R31" s="339"/>
      <x:c r="S31" s="339"/>
      <x:c r="T31" s="339"/>
      <x:c r="U31" s="1194"/>
      <x:c r="V31" s="1194"/>
      <x:c r="W31" s="1194"/>
      <x:c r="X31" s="1194"/>
      <x:c r="Y31" s="339"/>
      <x:c r="Z31" s="339"/>
    </x:row>
    <x:row r="32">
      <x:c r="A32" s="28" t="str">
        <x:v>Technology &amp; payment services</x:v>
      </x:c>
      <x:c r="B32" s="28" t="str">
        <x:v>Cloud, security operations and software</x:v>
      </x:c>
      <x:c r="C32" s="28" t="str">
        <x:v>$4m base + active students × $25</x:v>
      </x:c>
      <x:c r="D32" s="28" t="str">
        <x:v>NZD/year</x:v>
      </x:c>
      <x:c r="E32" s="416" t="n">
        <x:f>4000000+(Assumptions!$E$32*0.1)*25</x:f>
        <x:v>4779357.5</x:v>
      </x:c>
      <x:c r="F32" s="416" t="n">
        <x:f>4000000+(Assumptions!$E$32*0.3)*25</x:f>
        <x:v>6338072.5</x:v>
      </x:c>
      <x:c r="G32" s="416" t="n">
        <x:f>4000000+(Assumptions!$E$32*0.6)*25</x:f>
        <x:v>8676145</x:v>
      </x:c>
      <x:c r="H32" s="416" t="n">
        <x:f>4000000+(Assumptions!$E$32*0.85)*25</x:f>
        <x:v>10624538.75</x:v>
      </x:c>
      <x:c r="I32" s="416" t="n">
        <x:f>4000000+(Assumptions!$E$32*1.0)*25</x:f>
        <x:v>11793575</x:v>
      </x:c>
      <x:c r="J32" s="416" t="n">
        <x:f>SUM(E32:I32)</x:f>
        <x:v>42211688.75</x:v>
      </x:c>
      <x:c r="K32" s="416" t="n">
        <x:f>I32</x:f>
        <x:v>11793575</x:v>
      </x:c>
      <x:c r="L32" s="35" t="str">
        <x:v>A04;S19;S20</x:v>
      </x:c>
      <x:c r="M32" s="35" t="str">
        <x:v>Quote required</x:v>
      </x:c>
      <x:c r="N32" s="35" t="str">
        <x:v>Architecture and usage sensitive.</x:v>
      </x:c>
      <x:c r="O32" s="339"/>
      <x:c r="P32" s="339"/>
      <x:c r="Q32" s="339"/>
      <x:c r="R32" s="339"/>
      <x:c r="S32" s="339"/>
      <x:c r="T32" s="339"/>
      <x:c r="U32" s="1194"/>
      <x:c r="V32" s="1194"/>
      <x:c r="W32" s="1194"/>
      <x:c r="X32" s="1194"/>
      <x:c r="Y32" s="339"/>
      <x:c r="Z32" s="339"/>
    </x:row>
    <x:row r="33">
      <x:c r="A33" s="28" t="str">
        <x:v>Technology &amp; payment services</x:v>
      </x:c>
      <x:c r="B33" s="28" t="str">
        <x:v>Immediate-payment and Learning Capital administration</x:v>
      </x:c>
      <x:c r="C33" s="28" t="str">
        <x:v>Active students × $60</x:v>
      </x:c>
      <x:c r="D33" s="28" t="str">
        <x:v>NZD/year</x:v>
      </x:c>
      <x:c r="E33" s="416" t="n">
        <x:f>(Assumptions!$E$32*0.1)*60</x:f>
        <x:v>1870458.0000000002</x:v>
      </x:c>
      <x:c r="F33" s="416" t="n">
        <x:f>(Assumptions!$E$32*0.3)*60</x:f>
        <x:v>5611374</x:v>
      </x:c>
      <x:c r="G33" s="416" t="n">
        <x:f>(Assumptions!$E$32*0.6)*60</x:f>
        <x:v>11222748</x:v>
      </x:c>
      <x:c r="H33" s="416" t="n">
        <x:f>(Assumptions!$E$32*0.85)*60</x:f>
        <x:v>15898893</x:v>
      </x:c>
      <x:c r="I33" s="416" t="n">
        <x:f>(Assumptions!$E$32*1.0)*60</x:f>
        <x:v>18704580</x:v>
      </x:c>
      <x:c r="J33" s="416" t="n">
        <x:f>SUM(E33:I33)</x:f>
        <x:v>53308053</x:v>
      </x:c>
      <x:c r="K33" s="416" t="n">
        <x:f>I33</x:f>
        <x:v>18704580</x:v>
      </x:c>
      <x:c r="L33" s="35" t="str">
        <x:v>A05;S18</x:v>
      </x:c>
      <x:c r="M33" s="35" t="str">
        <x:v>Formal quote required</x:v>
      </x:c>
      <x:c r="N33" s="35" t="str">
        <x:v>The allowance includes transaction administration; provider, custody and agency prices require formal procurement evidence.</x:v>
      </x:c>
      <x:c r="O33" s="339"/>
      <x:c r="P33" s="339"/>
      <x:c r="Q33" s="339"/>
      <x:c r="R33" s="339"/>
      <x:c r="S33" s="339"/>
      <x:c r="T33" s="339"/>
      <x:c r="U33" s="1194"/>
      <x:c r="V33" s="1194"/>
      <x:c r="W33" s="1194"/>
      <x:c r="X33" s="1194"/>
      <x:c r="Y33" s="339"/>
      <x:c r="Z33" s="339"/>
    </x:row>
    <x:row r="34">
      <x:c r="A34" s="373" t="str">
        <x:v>Technology &amp; payment services subtotal</x:v>
      </x:c>
      <x:c r="B34" s="373"/>
      <x:c r="C34" s="373"/>
      <x:c r="D34" s="373"/>
      <x:c r="E34" s="420" t="n">
        <x:f>SUM(E31:E33)</x:f>
        <x:v>36649815.5</x:v>
      </x:c>
      <x:c r="F34" s="420" t="n">
        <x:f>SUM(F31:F33)</x:f>
        <x:v>36949446.5</x:v>
      </x:c>
      <x:c r="G34" s="420" t="n">
        <x:f>SUM(G31:G33)</x:f>
        <x:v>39898893</x:v>
      </x:c>
      <x:c r="H34" s="420" t="n">
        <x:f>SUM(H31:H33)</x:f>
        <x:v>41523431.75</x:v>
      </x:c>
      <x:c r="I34" s="420" t="n">
        <x:f>SUM(I31:I33)</x:f>
        <x:v>42498155</x:v>
      </x:c>
      <x:c r="J34" s="420" t="n">
        <x:f>SUM(J31:J33)</x:f>
        <x:v>197519741.75</x:v>
      </x:c>
      <x:c r="K34" s="420" t="n">
        <x:f>SUM(K31:K33)</x:f>
        <x:v>42498155</x:v>
      </x:c>
      <x:c r="L34" s="373"/>
      <x:c r="M34" s="373"/>
      <x:c r="N34" s="373"/>
      <x:c r="O34" s="339"/>
      <x:c r="P34" s="339"/>
      <x:c r="Q34" s="339"/>
      <x:c r="R34" s="339"/>
      <x:c r="S34" s="339"/>
      <x:c r="T34" s="339"/>
      <x:c r="U34" s="1194"/>
      <x:c r="V34" s="1194"/>
      <x:c r="W34" s="1194"/>
      <x:c r="X34" s="1194"/>
      <x:c r="Y34" s="339"/>
      <x:c r="Z34" s="339"/>
    </x:row>
    <x:row r="35">
      <x:c r="A35" s="28"/>
      <x:c r="B35" s="28"/>
      <x:c r="C35" s="28"/>
      <x:c r="D35" s="28"/>
      <x:c r="E35" s="423"/>
      <x:c r="F35" s="423"/>
      <x:c r="G35" s="423"/>
      <x:c r="H35" s="423"/>
      <x:c r="I35" s="423"/>
      <x:c r="J35" s="423"/>
      <x:c r="K35" s="423"/>
      <x:c r="L35" s="28"/>
      <x:c r="M35" s="28"/>
      <x:c r="N35" s="28"/>
      <x:c r="O35" s="339"/>
      <x:c r="P35" s="339"/>
      <x:c r="Q35" s="339"/>
      <x:c r="R35" s="339"/>
      <x:c r="S35" s="339"/>
      <x:c r="T35" s="339"/>
      <x:c r="U35" s="1194"/>
      <x:c r="V35" s="1194"/>
      <x:c r="W35" s="1194"/>
      <x:c r="X35" s="1194"/>
      <x:c r="Y35" s="339"/>
      <x:c r="Z35" s="339"/>
    </x:row>
    <x:row r="36" ht="21" customHeight="1">
      <x:c r="A36" s="368" t="str">
        <x:v>Evaluation, governance &amp; assurance</x:v>
      </x:c>
      <x:c r="B36" s="368" t="str">
        <x:v>Evaluation, governance &amp; assurance</x:v>
      </x:c>
      <x:c r="C36" s="368" t="str">
        <x:v>Evaluation, governance &amp; assurance</x:v>
      </x:c>
      <x:c r="D36" s="368" t="str">
        <x:v>Evaluation, governance &amp; assurance</x:v>
      </x:c>
      <x:c r="E36" s="413" t="str">
        <x:v>Evaluation, governance &amp; assurance</x:v>
      </x:c>
      <x:c r="F36" s="413" t="str">
        <x:v>Evaluation, governance &amp; assurance</x:v>
      </x:c>
      <x:c r="G36" s="413" t="str">
        <x:v>Evaluation, governance &amp; assurance</x:v>
      </x:c>
      <x:c r="H36" s="413" t="str">
        <x:v>Evaluation, governance &amp; assurance</x:v>
      </x:c>
      <x:c r="I36" s="413" t="str">
        <x:v>Evaluation, governance &amp; assurance</x:v>
      </x:c>
      <x:c r="J36" s="413" t="str">
        <x:v>Evaluation, governance &amp; assurance</x:v>
      </x:c>
      <x:c r="K36" s="413" t="str">
        <x:v>Evaluation, governance &amp; assurance</x:v>
      </x:c>
      <x:c r="L36" s="368" t="str">
        <x:v>Evaluation, governance &amp; assurance</x:v>
      </x:c>
      <x:c r="M36" s="368" t="str">
        <x:v>Evaluation, governance &amp; assurance</x:v>
      </x:c>
      <x:c r="N36" s="368" t="str">
        <x:v>Evaluation, governance &amp; assurance</x:v>
      </x:c>
      <x:c r="O36" s="339"/>
      <x:c r="P36" s="339"/>
      <x:c r="Q36" s="339"/>
      <x:c r="R36" s="339"/>
      <x:c r="S36" s="339"/>
      <x:c r="T36" s="339"/>
      <x:c r="U36" s="1194"/>
      <x:c r="V36" s="1194"/>
      <x:c r="W36" s="1194"/>
      <x:c r="X36" s="1194"/>
      <x:c r="Y36" s="339"/>
      <x:c r="Z36" s="339"/>
    </x:row>
    <x:row r="37">
      <x:c r="A37" s="28" t="str">
        <x:v>Evaluation, governance &amp; assurance</x:v>
      </x:c>
      <x:c r="B37" s="28" t="str">
        <x:v>Independent evaluation and data monitoring</x:v>
      </x:c>
      <x:c r="C37" s="28" t="str">
        <x:v>$8m base + $4m × rollout share</x:v>
      </x:c>
      <x:c r="D37" s="28" t="str">
        <x:v>NZD/year</x:v>
      </x:c>
      <x:c r="E37" s="416" t="n">
        <x:f>8000000+4000000*0.1</x:f>
        <x:v>8400000</x:v>
      </x:c>
      <x:c r="F37" s="416" t="n">
        <x:f>8000000+4000000*0.3</x:f>
        <x:v>9200000</x:v>
      </x:c>
      <x:c r="G37" s="416" t="n">
        <x:f>8000000+4000000*0.6</x:f>
        <x:v>10400000</x:v>
      </x:c>
      <x:c r="H37" s="416" t="n">
        <x:f>8000000+4000000*0.85</x:f>
        <x:v>11400000</x:v>
      </x:c>
      <x:c r="I37" s="416" t="n">
        <x:f>8000000+4000000*1.0</x:f>
        <x:v>12000000</x:v>
      </x:c>
      <x:c r="J37" s="416" t="n">
        <x:f>SUM(E37:I37)</x:f>
        <x:v>51400000</x:v>
      </x:c>
      <x:c r="K37" s="416" t="n">
        <x:f>I37</x:f>
        <x:v>12000000</x:v>
      </x:c>
      <x:c r="L37" s="35" t="str">
        <x:v>S04;S05</x:v>
      </x:c>
      <x:c r="M37" s="35" t="str">
        <x:v>Model allowance</x:v>
      </x:c>
      <x:c r="N37" s="35" t="str">
        <x:v>Includes long-term outcome linkage.</x:v>
      </x:c>
      <x:c r="O37" s="339"/>
      <x:c r="P37" s="339"/>
      <x:c r="Q37" s="339"/>
      <x:c r="R37" s="339"/>
      <x:c r="S37" s="339"/>
      <x:c r="T37" s="339"/>
      <x:c r="U37" s="1194"/>
      <x:c r="V37" s="1194"/>
      <x:c r="W37" s="1194"/>
      <x:c r="X37" s="1194"/>
      <x:c r="Y37" s="339"/>
      <x:c r="Z37" s="339"/>
    </x:row>
    <x:row r="38">
      <x:c r="A38" s="28" t="str">
        <x:v>Evaluation, governance &amp; assurance</x:v>
      </x:c>
      <x:c r="B38" s="28" t="str">
        <x:v>National governance and ongoing co-design</x:v>
      </x:c>
      <x:c r="C38" s="28" t="str">
        <x:v>$4m base + $4m × rollout share</x:v>
      </x:c>
      <x:c r="D38" s="28" t="str">
        <x:v>NZD/year</x:v>
      </x:c>
      <x:c r="E38" s="416" t="n">
        <x:f>4000000+4000000*0.1</x:f>
        <x:v>4400000</x:v>
      </x:c>
      <x:c r="F38" s="416" t="n">
        <x:f>4000000+4000000*0.3</x:f>
        <x:v>5200000</x:v>
      </x:c>
      <x:c r="G38" s="416" t="n">
        <x:f>4000000+4000000*0.6</x:f>
        <x:v>6400000</x:v>
      </x:c>
      <x:c r="H38" s="416" t="n">
        <x:f>4000000+4000000*0.85</x:f>
        <x:v>7400000</x:v>
      </x:c>
      <x:c r="I38" s="416" t="n">
        <x:f>4000000+4000000*1.0</x:f>
        <x:v>8000000</x:v>
      </x:c>
      <x:c r="J38" s="416" t="n">
        <x:f>SUM(E38:I38)</x:f>
        <x:v>31400000</x:v>
      </x:c>
      <x:c r="K38" s="416" t="n">
        <x:f>I38</x:f>
        <x:v>8000000</x:v>
      </x:c>
      <x:c r="L38" s="35" t="str">
        <x:v>S14;A02</x:v>
      </x:c>
      <x:c r="M38" s="35" t="str">
        <x:v>Model allowance</x:v>
      </x:c>
      <x:c r="N38" s="35" t="str">
        <x:v>Partner-led budget required.</x:v>
      </x:c>
      <x:c r="O38" s="339"/>
      <x:c r="P38" s="339"/>
      <x:c r="Q38" s="339"/>
      <x:c r="R38" s="339"/>
      <x:c r="S38" s="339"/>
      <x:c r="T38" s="339"/>
      <x:c r="U38" s="1194"/>
      <x:c r="V38" s="1194"/>
      <x:c r="W38" s="1194"/>
      <x:c r="X38" s="1194"/>
      <x:c r="Y38" s="339"/>
      <x:c r="Z38" s="339"/>
    </x:row>
    <x:row r="39">
      <x:c r="A39" s="28" t="str">
        <x:v>Evaluation, governance &amp; assurance</x:v>
      </x:c>
      <x:c r="B39" s="28" t="str">
        <x:v>Legal, privacy, cyber assurance, audit and reporting</x:v>
      </x:c>
      <x:c r="C39" s="28" t="str">
        <x:v>$4m base + $4m × rollout share</x:v>
      </x:c>
      <x:c r="D39" s="28" t="str">
        <x:v>NZD/year</x:v>
      </x:c>
      <x:c r="E39" s="416" t="n">
        <x:f>4000000+4000000*0.1</x:f>
        <x:v>4400000</x:v>
      </x:c>
      <x:c r="F39" s="416" t="n">
        <x:f>4000000+4000000*0.3</x:f>
        <x:v>5200000</x:v>
      </x:c>
      <x:c r="G39" s="416" t="n">
        <x:f>4000000+4000000*0.6</x:f>
        <x:v>6400000</x:v>
      </x:c>
      <x:c r="H39" s="416" t="n">
        <x:f>4000000+4000000*0.85</x:f>
        <x:v>7400000</x:v>
      </x:c>
      <x:c r="I39" s="416" t="n">
        <x:f>4000000+4000000*1.0</x:f>
        <x:v>8000000</x:v>
      </x:c>
      <x:c r="J39" s="416" t="n">
        <x:f>SUM(E39:I39)</x:f>
        <x:v>31400000</x:v>
      </x:c>
      <x:c r="K39" s="416" t="n">
        <x:f>I39</x:f>
        <x:v>8000000</x:v>
      </x:c>
      <x:c r="L39" s="35" t="str">
        <x:v>S15;S16</x:v>
      </x:c>
      <x:c r="M39" s="35" t="str">
        <x:v>Model allowance</x:v>
      </x:c>
      <x:c r="N39" s="35" t="str">
        <x:v>Scope depends on legal and technical design.</x:v>
      </x:c>
      <x:c r="O39" s="339"/>
      <x:c r="P39" s="339"/>
      <x:c r="Q39" s="339"/>
      <x:c r="R39" s="339"/>
      <x:c r="S39" s="339"/>
      <x:c r="T39" s="339"/>
      <x:c r="U39" s="1194"/>
      <x:c r="V39" s="1194"/>
      <x:c r="W39" s="1194"/>
      <x:c r="X39" s="1194"/>
      <x:c r="Y39" s="339"/>
      <x:c r="Z39" s="339"/>
    </x:row>
    <x:row r="40">
      <x:c r="A40" s="373" t="str">
        <x:v>Evaluation, governance &amp; assurance subtotal</x:v>
      </x:c>
      <x:c r="B40" s="373"/>
      <x:c r="C40" s="373"/>
      <x:c r="D40" s="373"/>
      <x:c r="E40" s="420" t="n">
        <x:f>SUM(E37:E39)</x:f>
        <x:v>17200000</x:v>
      </x:c>
      <x:c r="F40" s="420" t="n">
        <x:f>SUM(F37:F39)</x:f>
        <x:v>19600000</x:v>
      </x:c>
      <x:c r="G40" s="420" t="n">
        <x:f>SUM(G37:G39)</x:f>
        <x:v>23200000</x:v>
      </x:c>
      <x:c r="H40" s="420" t="n">
        <x:f>SUM(H37:H39)</x:f>
        <x:v>26200000</x:v>
      </x:c>
      <x:c r="I40" s="420" t="n">
        <x:f>SUM(I37:I39)</x:f>
        <x:v>28000000</x:v>
      </x:c>
      <x:c r="J40" s="420" t="n">
        <x:f>SUM(J37:J39)</x:f>
        <x:v>114200000</x:v>
      </x:c>
      <x:c r="K40" s="420" t="n">
        <x:f>SUM(K37:K39)</x:f>
        <x:v>28000000</x:v>
      </x:c>
      <x:c r="L40" s="373"/>
      <x:c r="M40" s="373"/>
      <x:c r="N40" s="373"/>
      <x:c r="O40" s="339"/>
      <x:c r="P40" s="339"/>
      <x:c r="Q40" s="339"/>
      <x:c r="R40" s="339"/>
      <x:c r="S40" s="339"/>
      <x:c r="T40" s="339"/>
      <x:c r="U40" s="1194"/>
      <x:c r="V40" s="1194"/>
      <x:c r="W40" s="1194"/>
      <x:c r="X40" s="1194"/>
      <x:c r="Y40" s="339"/>
      <x:c r="Z40" s="339"/>
    </x:row>
    <x:row r="41">
      <x:c r="A41" s="28"/>
      <x:c r="B41" s="28"/>
      <x:c r="C41" s="28"/>
      <x:c r="D41" s="28"/>
      <x:c r="E41" s="423"/>
      <x:c r="F41" s="423"/>
      <x:c r="G41" s="423"/>
      <x:c r="H41" s="423"/>
      <x:c r="I41" s="423"/>
      <x:c r="J41" s="423"/>
      <x:c r="K41" s="423"/>
      <x:c r="L41" s="28"/>
      <x:c r="M41" s="28"/>
      <x:c r="N41" s="28"/>
      <x:c r="O41" s="339"/>
      <x:c r="P41" s="339"/>
      <x:c r="Q41" s="339"/>
      <x:c r="R41" s="339"/>
      <x:c r="S41" s="339"/>
      <x:c r="T41" s="339"/>
      <x:c r="U41" s="1194"/>
      <x:c r="V41" s="1194"/>
      <x:c r="W41" s="1194"/>
      <x:c r="X41" s="1194"/>
      <x:c r="Y41" s="339"/>
      <x:c r="Z41" s="339"/>
    </x:row>
    <x:row r="42" ht="21" customHeight="1">
      <x:c r="A42" s="368" t="str">
        <x:v>Temporary rollout costs</x:v>
      </x:c>
      <x:c r="B42" s="368" t="str">
        <x:v>Temporary rollout costs</x:v>
      </x:c>
      <x:c r="C42" s="368" t="str">
        <x:v>Temporary rollout costs</x:v>
      </x:c>
      <x:c r="D42" s="368" t="str">
        <x:v>Temporary rollout costs</x:v>
      </x:c>
      <x:c r="E42" s="413" t="str">
        <x:v>Temporary rollout costs</x:v>
      </x:c>
      <x:c r="F42" s="413" t="str">
        <x:v>Temporary rollout costs</x:v>
      </x:c>
      <x:c r="G42" s="413" t="str">
        <x:v>Temporary rollout costs</x:v>
      </x:c>
      <x:c r="H42" s="413" t="str">
        <x:v>Temporary rollout costs</x:v>
      </x:c>
      <x:c r="I42" s="413" t="str">
        <x:v>Temporary rollout costs</x:v>
      </x:c>
      <x:c r="J42" s="413" t="str">
        <x:v>Temporary rollout costs</x:v>
      </x:c>
      <x:c r="K42" s="413" t="str">
        <x:v>Temporary rollout costs</x:v>
      </x:c>
      <x:c r="L42" s="368" t="str">
        <x:v>Temporary rollout costs</x:v>
      </x:c>
      <x:c r="M42" s="368" t="str">
        <x:v>Temporary rollout costs</x:v>
      </x:c>
      <x:c r="N42" s="368" t="str">
        <x:v>Temporary rollout costs</x:v>
      </x:c>
      <x:c r="O42" s="339"/>
      <x:c r="P42" s="339"/>
      <x:c r="Q42" s="339"/>
      <x:c r="R42" s="339"/>
      <x:c r="S42" s="339"/>
      <x:c r="T42" s="339"/>
      <x:c r="U42" s="1194"/>
      <x:c r="V42" s="1194"/>
      <x:c r="W42" s="1194"/>
      <x:c r="X42" s="1194"/>
      <x:c r="Y42" s="339"/>
      <x:c r="Z42" s="339"/>
    </x:row>
    <x:row r="43">
      <x:c r="A43" s="28" t="str">
        <x:v>Temporary rollout costs</x:v>
      </x:c>
      <x:c r="B43" s="28" t="str">
        <x:v>New-school onboarding and change management</x:v>
      </x:c>
      <x:c r="C43" s="28" t="str">
        <x:v>Newly activated schools × $100,000</x:v>
      </x:c>
      <x:c r="D43" s="28" t="str">
        <x:v>NZD/year</x:v>
      </x:c>
      <x:c r="E43" s="416" t="n">
        <x:f>(Assumptions!$E$34*(0.1-0))*100000</x:f>
        <x:v>5000000</x:v>
      </x:c>
      <x:c r="F43" s="416" t="n">
        <x:f>(Assumptions!$E$34*(0.3-0.1))*100000</x:f>
        <x:v>9999999.999999998</x:v>
      </x:c>
      <x:c r="G43" s="416" t="n">
        <x:f>(Assumptions!$E$34*(0.6-0.3))*100000</x:f>
        <x:v>15000000</x:v>
      </x:c>
      <x:c r="H43" s="416" t="n">
        <x:f>(Assumptions!$E$34*(0.85-0.6))*100000</x:f>
        <x:v>12500000</x:v>
      </x:c>
      <x:c r="I43" s="416" t="n">
        <x:f>(Assumptions!$E$34*(1.0-0.85))*100000</x:f>
        <x:v>7500000.000000002</x:v>
      </x:c>
      <x:c r="J43" s="416" t="n">
        <x:f>SUM(E43:I43)</x:f>
        <x:v>50000000</x:v>
      </x:c>
      <x:c r="K43" s="416" t="n">
        <x:v>0</x:v>
      </x:c>
      <x:c r="L43" s="35" t="str">
        <x:v>A03;S07</x:v>
      </x:c>
      <x:c r="M43" s="35" t="str">
        <x:v>Planning allowance</x:v>
      </x:c>
      <x:c r="N43" s="35" t="str">
        <x:v>Temporary and excluded from mature run-rate.</x:v>
      </x:c>
      <x:c r="O43" s="339"/>
      <x:c r="P43" s="339"/>
      <x:c r="Q43" s="339"/>
      <x:c r="R43" s="339"/>
      <x:c r="S43" s="339"/>
      <x:c r="T43" s="339"/>
      <x:c r="U43" s="1194"/>
      <x:c r="V43" s="1194"/>
      <x:c r="W43" s="1194"/>
      <x:c r="X43" s="1194"/>
      <x:c r="Y43" s="339"/>
      <x:c r="Z43" s="339"/>
    </x:row>
    <x:row r="44">
      <x:c r="A44" s="373" t="str">
        <x:v>Temporary rollout costs subtotal</x:v>
      </x:c>
      <x:c r="B44" s="373"/>
      <x:c r="C44" s="373"/>
      <x:c r="D44" s="373"/>
      <x:c r="E44" s="420" t="n">
        <x:f>SUM(E43:E43)</x:f>
        <x:v>5000000</x:v>
      </x:c>
      <x:c r="F44" s="420" t="n">
        <x:f>SUM(F43:F43)</x:f>
        <x:v>9999999.999999998</x:v>
      </x:c>
      <x:c r="G44" s="420" t="n">
        <x:f>SUM(G43:G43)</x:f>
        <x:v>15000000</x:v>
      </x:c>
      <x:c r="H44" s="420" t="n">
        <x:f>SUM(H43:H43)</x:f>
        <x:v>12500000</x:v>
      </x:c>
      <x:c r="I44" s="420" t="n">
        <x:f>SUM(I43:I43)</x:f>
        <x:v>7500000.000000002</x:v>
      </x:c>
      <x:c r="J44" s="420" t="n">
        <x:f>SUM(J43:J43)</x:f>
        <x:v>50000000</x:v>
      </x:c>
      <x:c r="K44" s="420" t="n">
        <x:f>SUM(K43:K43)</x:f>
        <x:v>0</x:v>
      </x:c>
      <x:c r="L44" s="373"/>
      <x:c r="M44" s="373"/>
      <x:c r="N44" s="373"/>
      <x:c r="O44" s="339"/>
      <x:c r="P44" s="339"/>
      <x:c r="Q44" s="339"/>
      <x:c r="R44" s="339"/>
      <x:c r="S44" s="339"/>
      <x:c r="T44" s="339"/>
      <x:c r="U44" s="1194"/>
      <x:c r="V44" s="1194"/>
      <x:c r="W44" s="1194"/>
      <x:c r="X44" s="1194"/>
      <x:c r="Y44" s="339"/>
      <x:c r="Z44" s="339"/>
    </x:row>
    <x:row r="45">
      <x:c r="A45" s="28"/>
      <x:c r="B45" s="28"/>
      <x:c r="C45" s="28"/>
      <x:c r="D45" s="28"/>
      <x:c r="E45" s="423"/>
      <x:c r="F45" s="423"/>
      <x:c r="G45" s="423"/>
      <x:c r="H45" s="423"/>
      <x:c r="I45" s="423"/>
      <x:c r="J45" s="423"/>
      <x:c r="K45" s="423"/>
      <x:c r="L45" s="28"/>
      <x:c r="M45" s="28"/>
      <x:c r="N45" s="28"/>
      <x:c r="O45" s="339"/>
      <x:c r="P45" s="339"/>
      <x:c r="Q45" s="339"/>
      <x:c r="R45" s="339"/>
      <x:c r="S45" s="339"/>
      <x:c r="T45" s="339"/>
      <x:c r="U45" s="1194"/>
      <x:c r="V45" s="1194"/>
      <x:c r="W45" s="1194"/>
      <x:c r="X45" s="1194"/>
      <x:c r="Y45" s="339"/>
      <x:c r="Z45" s="339"/>
    </x:row>
    <x:row r="46">
      <x:c r="A46" s="379" t="str">
        <x:v>Non-stipend subtotal before contingency</x:v>
      </x:c>
      <x:c r="B46" s="379"/>
      <x:c r="C46" s="379"/>
      <x:c r="D46" s="379"/>
      <x:c r="E46" s="427" t="n">
        <x:f>E23+E28+E34+E40+E44</x:f>
        <x:v>84404729.91666667</x:v>
      </x:c>
      <x:c r="F46" s="427" t="n">
        <x:f>F23+F28+F34+F40+F44</x:f>
        <x:v>133454189.75</x:v>
      </x:c>
      <x:c r="G46" s="427" t="n">
        <x:f>G23+G28+G34+G40+G44</x:f>
        <x:v>207028379.5</x:v>
      </x:c>
      <x:c r="H46" s="427" t="n">
        <x:f>H23+H28+H34+H40+H44</x:f>
        <x:v>260840204.29166666</x:v>
      </x:c>
      <x:c r="I46" s="427" t="n">
        <x:f>I23+I28+I34+I40+I44</x:f>
        <x:v>289627299.1666667</x:v>
      </x:c>
      <x:c r="J46" s="427" t="n">
        <x:f>J23+J28+J34+J40+J44</x:f>
        <x:v>975354802.625</x:v>
      </x:c>
      <x:c r="K46" s="427" t="n">
        <x:f>K23+K28+K34+K40+K44</x:f>
        <x:v>282127299.1666667</x:v>
      </x:c>
      <x:c r="L46" s="379"/>
      <x:c r="M46" s="379"/>
      <x:c r="N46" s="379"/>
      <x:c r="O46" s="339"/>
      <x:c r="P46" s="339"/>
      <x:c r="Q46" s="339"/>
      <x:c r="R46" s="339"/>
      <x:c r="S46" s="339"/>
      <x:c r="T46" s="339"/>
      <x:c r="U46" s="1194"/>
      <x:c r="V46" s="1194"/>
      <x:c r="W46" s="1194"/>
      <x:c r="X46" s="1194"/>
      <x:c r="Y46" s="339"/>
      <x:c r="Z46" s="339"/>
    </x:row>
    <x:row r="47">
      <x:c r="A47" s="373" t="str">
        <x:v>Contingency on non-stipend costs</x:v>
      </x:c>
      <x:c r="B47" s="373"/>
      <x:c r="C47" s="373"/>
      <x:c r="D47" s="373"/>
      <x:c r="E47" s="420" t="n">
        <x:f>E46*Assumptions!$E$14</x:f>
        <x:v>8440472.991666667</x:v>
      </x:c>
      <x:c r="F47" s="420" t="n">
        <x:f>F46*Assumptions!$E$14</x:f>
        <x:v>13345418.975000001</x:v>
      </x:c>
      <x:c r="G47" s="420" t="n">
        <x:f>G46*Assumptions!$E$14</x:f>
        <x:v>20702837.950000003</x:v>
      </x:c>
      <x:c r="H47" s="420" t="n">
        <x:f>H46*Assumptions!$E$14</x:f>
        <x:v>26084020.429166667</x:v>
      </x:c>
      <x:c r="I47" s="420" t="n">
        <x:f>I46*Assumptions!$E$14</x:f>
        <x:v>28962729.91666667</x:v>
      </x:c>
      <x:c r="J47" s="420" t="n">
        <x:f>J46*Assumptions!$E$14</x:f>
        <x:v>97535480.2625</x:v>
      </x:c>
      <x:c r="K47" s="420" t="n">
        <x:f>K46*Assumptions!$E$14</x:f>
        <x:v>28212729.91666667</x:v>
      </x:c>
      <x:c r="L47" s="373"/>
      <x:c r="M47" s="373"/>
      <x:c r="N47" s="373"/>
      <x:c r="O47" s="339"/>
      <x:c r="P47" s="339"/>
      <x:c r="Q47" s="339"/>
      <x:c r="R47" s="339"/>
      <x:c r="S47" s="339"/>
      <x:c r="T47" s="339"/>
      <x:c r="U47" s="1194"/>
      <x:c r="V47" s="1194"/>
      <x:c r="W47" s="1194"/>
      <x:c r="X47" s="1194"/>
      <x:c r="Y47" s="339"/>
      <x:c r="Z47" s="339"/>
    </x:row>
    <x:row r="48">
      <x:c r="A48" s="383" t="str">
        <x:v>STAGE 2 — TOTAL CONDITIONAL NATIONAL ROLLOUT COST</x:v>
      </x:c>
      <x:c r="B48" s="383"/>
      <x:c r="C48" s="383"/>
      <x:c r="D48" s="383"/>
      <x:c r="E48" s="431" t="n">
        <x:f>E15+E46+E47</x:f>
        <x:v>214424972.90833336</x:v>
      </x:c>
      <x:c r="F48" s="431" t="n">
        <x:f>F15+F46+F47</x:f>
        <x:v>511538918.725</x:v>
      </x:c>
      <x:c r="G48" s="431" t="n">
        <x:f>G15+G46+G47</x:f>
        <x:v>957209837.45</x:v>
      </x:c>
      <x:c r="H48" s="431" t="n">
        <x:f>H15+H46+H47</x:f>
        <x:v>1320352269.7208333</x:v>
      </x:c>
      <x:c r="I48" s="431" t="n">
        <x:f>I15+I46+I47</x:f>
        <x:v>1534387729.0833335</x:v>
      </x:c>
      <x:c r="J48" s="431" t="n">
        <x:f>J15+J46+J47</x:f>
        <x:v>4537913727.8875</x:v>
      </x:c>
      <x:c r="K48" s="431" t="n">
        <x:f>K15+K46+K47</x:f>
        <x:v>1526137729.0833335</x:v>
      </x:c>
      <x:c r="L48" s="383"/>
      <x:c r="M48" s="383"/>
      <x:c r="N48" s="383"/>
      <x:c r="O48" s="339"/>
      <x:c r="P48" s="339"/>
      <x:c r="Q48" s="339"/>
      <x:c r="R48" s="339"/>
      <x:c r="S48" s="339"/>
      <x:c r="T48" s="339"/>
      <x:c r="U48" s="1194"/>
      <x:c r="V48" s="1194"/>
      <x:c r="W48" s="1194"/>
      <x:c r="X48" s="1194"/>
      <x:c r="Y48" s="339"/>
      <x:c r="Z48" s="339"/>
    </x:row>
    <x:row r="49">
      <x:c r="A49" s="28"/>
      <x:c r="B49" s="28"/>
      <x:c r="C49" s="28"/>
      <x:c r="D49" s="28"/>
      <x:c r="E49" s="28"/>
      <x:c r="F49" s="28"/>
      <x:c r="G49" s="28"/>
      <x:c r="H49" s="28"/>
      <x:c r="I49" s="28"/>
      <x:c r="J49" s="28"/>
      <x:c r="K49" s="28"/>
      <x:c r="L49" s="28"/>
      <x:c r="M49" s="28"/>
      <x:c r="N49" s="28"/>
      <x:c r="O49" s="339"/>
      <x:c r="P49" s="339"/>
      <x:c r="Q49" s="339"/>
      <x:c r="R49" s="339"/>
      <x:c r="S49" s="339"/>
      <x:c r="T49" s="339"/>
      <x:c r="U49" s="1194"/>
      <x:c r="V49" s="1194"/>
      <x:c r="W49" s="1194"/>
      <x:c r="X49" s="1194"/>
      <x:c r="Y49" s="339"/>
      <x:c r="Z49" s="339"/>
    </x:row>
    <x:row r="50">
      <x:c r="A50" s="28"/>
      <x:c r="B50" s="28"/>
      <x:c r="C50" s="28"/>
      <x:c r="D50" s="28"/>
      <x:c r="E50" s="28"/>
      <x:c r="F50" s="28"/>
      <x:c r="G50" s="28"/>
      <x:c r="H50" s="28"/>
      <x:c r="I50" s="28"/>
      <x:c r="J50" s="28"/>
      <x:c r="K50" s="28"/>
      <x:c r="L50" s="28"/>
      <x:c r="M50" s="28"/>
      <x:c r="N50" s="28"/>
      <x:c r="O50" s="339"/>
      <x:c r="P50" s="339"/>
      <x:c r="Q50" s="339"/>
      <x:c r="R50" s="339"/>
      <x:c r="S50" s="339"/>
      <x:c r="T50" s="339"/>
      <x:c r="U50" s="1194"/>
      <x:c r="V50" s="1194"/>
      <x:c r="W50" s="1194"/>
      <x:c r="X50" s="1194"/>
      <x:c r="Y50" s="339"/>
      <x:c r="Z50" s="339"/>
    </x:row>
    <x:row r="51" ht="22" customHeight="1">
      <x:c r="A51" s="633" t="str">
        <x:v>Central Learning Capital and student-loan offset indicators</x:v>
      </x:c>
      <x:c r="B51" s="633" t="str">
        <x:v>Central Learning Capital and student-loan offset indicators</x:v>
      </x:c>
      <x:c r="C51" s="633" t="str">
        <x:v>Central Learning Capital and student-loan offset indicators</x:v>
      </x:c>
      <x:c r="D51" s="633" t="str">
        <x:v>Central Learning Capital and student-loan offset indicators</x:v>
      </x:c>
      <x:c r="E51" s="633" t="str">
        <x:v>Central Learning Capital and student-loan offset indicators</x:v>
      </x:c>
      <x:c r="F51" s="633" t="str">
        <x:v>Central Learning Capital and student-loan offset indicators</x:v>
      </x:c>
      <x:c r="G51" s="633" t="str">
        <x:v>Central Learning Capital and student-loan offset indicators</x:v>
      </x:c>
      <x:c r="H51" s="633" t="str">
        <x:v>Central Learning Capital and student-loan offset indicators</x:v>
      </x:c>
      <x:c r="I51" s="633" t="str">
        <x:v>Central Learning Capital and student-loan offset indicators</x:v>
      </x:c>
      <x:c r="J51" s="633" t="str">
        <x:v>Central Learning Capital and student-loan offset indicators</x:v>
      </x:c>
      <x:c r="K51" s="633" t="str">
        <x:v>Central Learning Capital and student-loan offset indicators</x:v>
      </x:c>
      <x:c r="L51" s="633" t="str">
        <x:v>Central Learning Capital and student-loan offset indicators</x:v>
      </x:c>
      <x:c r="M51" s="633" t="str">
        <x:v>Central Learning Capital and student-loan offset indicators</x:v>
      </x:c>
      <x:c r="N51" s="633" t="str">
        <x:v>Central Learning Capital and student-loan offset indicators</x:v>
      </x:c>
      <x:c r="O51" s="339"/>
      <x:c r="P51" s="339"/>
      <x:c r="Q51" s="339"/>
      <x:c r="R51" s="339"/>
      <x:c r="S51" s="339"/>
      <x:c r="T51" s="339"/>
      <x:c r="U51" s="1194"/>
      <x:c r="V51" s="1194"/>
      <x:c r="W51" s="1194"/>
      <x:c r="X51" s="1194"/>
      <x:c r="Y51" s="339"/>
      <x:c r="Z51" s="339"/>
    </x:row>
    <x:row r="52" ht="28" customHeight="1">
      <x:c r="A52" s="526" t="str">
        <x:v>Metric</x:v>
      </x:c>
      <x:c r="B52" s="526" t="str">
        <x:v>Mature annual immediate-access payments</x:v>
      </x:c>
      <x:c r="C52" s="526" t="str">
        <x:v>Mature annual Learning Capital deposits</x:v>
      </x:c>
      <x:c r="D52" s="526" t="str">
        <x:v>Five-year rollout Learning Capital deposits</x:v>
      </x:c>
      <x:c r="E52" s="526" t="str">
        <x:v>Projected assets under management at end of rollout</x:v>
      </x:c>
      <x:c r="F52" s="526" t="str">
        <x:v>Annual-cohort loan principal displaced</x:v>
      </x:c>
      <x:c r="G52" s="526" t="str">
        <x:v>Initial fair-value cost avoided</x:v>
      </x:c>
      <x:c r="H52" s="526" t="str">
        <x:v>Net Crown offset after account administration and induced-study cost</x:v>
      </x:c>
      <x:c r="I52" s="526" t="str">
        <x:v>Cost-of-ownership view</x:v>
      </x:c>
      <x:c r="J52" s="526" t="str">
        <x:v>Inflation-erosion view</x:v>
      </x:c>
      <x:c r="K52" s="526" t="str">
        <x:v>Treatment in appropriation</x:v>
      </x:c>
      <x:c r="L52" s="526" t="str">
        <x:v>Source ID</x:v>
      </x:c>
      <x:c r="M52" s="526" t="str">
        <x:v>Confidence</x:v>
      </x:c>
      <x:c r="N52" s="526" t="str">
        <x:v>Interpretation</x:v>
      </x:c>
      <x:c r="O52" s="339"/>
      <x:c r="P52" s="339"/>
      <x:c r="Q52" s="339"/>
      <x:c r="R52" s="339"/>
      <x:c r="S52" s="339"/>
      <x:c r="T52" s="339"/>
      <x:c r="U52" s="1194"/>
      <x:c r="V52" s="1194"/>
      <x:c r="W52" s="1194"/>
      <x:c r="X52" s="1194"/>
      <x:c r="Y52" s="339"/>
      <x:c r="Z52" s="339"/>
    </x:row>
    <x:row r="53">
      <x:c r="A53" s="28" t="str">
        <x:v>Central case</x:v>
      </x:c>
      <x:c r="B53" s="529" t="n">
        <x:f>K13</x:f>
        <x:v>607898850</x:v>
      </x:c>
      <x:c r="C53" s="529" t="n">
        <x:f>K14</x:f>
        <x:v>607898850</x:v>
      </x:c>
      <x:c r="D53" s="529" t="n">
        <x:f>J14</x:f>
        <x:v>1732511722.5</x:v>
      </x:c>
      <x:c r="E53" s="345" t="n">
        <x:f>E14*1.04^4+F14*1.04^3+G14*1.04^2+H14*1.04+I14</x:f>
        <x:v>1816040098.0265856</x:v>
      </x:c>
      <x:c r="F53" s="345" t="n">
        <x:f>'Cohort Bridge'!$D$27</x:f>
        <x:v>170706529.06716847</x:v>
      </x:c>
      <x:c r="G53" s="345" t="n">
        <x:f>'Cohort Bridge'!$D$28</x:f>
        <x:v>58449915.55259848</x:v>
      </x:c>
      <x:c r="H53" s="345" t="n">
        <x:f>'Cohort Bridge'!$D$30</x:f>
        <x:v>5827697.152598478</x:v>
      </x:c>
      <x:c r="I53" s="345" t="n">
        <x:f>'Learning Capital &amp; ROI'!$C$111*(Assumptions!$E$32/Assumptions!$E$33)</x:f>
        <x:v>6388705.753520326</x:v>
      </x:c>
      <x:c r="J53" s="345" t="n">
        <x:f>'Learning Capital &amp; ROI'!$C$112*(Assumptions!$E$32/Assumptions!$E$33)</x:f>
        <x:v>14604798.627564864</x:v>
      </x:c>
      <x:c r="K53" s="28" t="str">
        <x:v>Future loan offsets do not reduce the cash appropriation recognised when programme payments occur.</x:v>
      </x:c>
      <x:c r="L53" s="28" t="str">
        <x:v>S24–S30;A08–A16</x:v>
      </x:c>
      <x:c r="M53" s="28" t="str">
        <x:v>Scenario model</x:v>
      </x:c>
      <x:c r="N53" s="28" t="str">
        <x:v>Official fair value is central; other loan-cost views are non-additive.</x:v>
      </x:c>
      <x:c r="O53" s="339"/>
      <x:c r="P53" s="339"/>
      <x:c r="Q53" s="339"/>
      <x:c r="R53" s="339"/>
      <x:c r="S53" s="339"/>
      <x:c r="T53" s="339"/>
      <x:c r="U53" s="1194"/>
      <x:c r="V53" s="1194"/>
      <x:c r="W53" s="1194"/>
      <x:c r="X53" s="1194"/>
      <x:c r="Y53" s="339"/>
      <x:c r="Z53" s="339"/>
    </x:row>
    <x:row r="54">
      <x:c r="A54" s="339"/>
      <x:c r="B54" s="339"/>
      <x:c r="C54" s="339"/>
      <x:c r="D54" s="339"/>
      <x:c r="E54" s="339"/>
      <x:c r="F54" s="339"/>
      <x:c r="G54" s="339"/>
      <x:c r="H54" s="339"/>
      <x:c r="I54" s="339"/>
      <x:c r="J54" s="339"/>
      <x:c r="K54" s="339"/>
      <x:c r="L54" s="339"/>
      <x:c r="M54" s="339"/>
      <x:c r="N54" s="339"/>
      <x:c r="O54" s="339"/>
      <x:c r="P54" s="339"/>
      <x:c r="Q54" s="339"/>
      <x:c r="R54" s="339"/>
      <x:c r="S54" s="339"/>
      <x:c r="T54" s="339"/>
      <x:c r="U54" s="1194"/>
      <x:c r="V54" s="1194"/>
      <x:c r="W54" s="1194"/>
      <x:c r="X54" s="1194"/>
      <x:c r="Y54" s="339"/>
      <x:c r="Z54" s="339"/>
    </x:row>
    <x:row r="55">
      <x:c r="A55" s="339"/>
      <x:c r="B55" s="339"/>
      <x:c r="C55" s="339"/>
      <x:c r="D55" s="339"/>
      <x:c r="E55" s="339"/>
      <x:c r="F55" s="339"/>
      <x:c r="G55" s="339"/>
      <x:c r="H55" s="339"/>
      <x:c r="I55" s="339"/>
      <x:c r="J55" s="339"/>
      <x:c r="K55" s="339"/>
      <x:c r="L55" s="339"/>
      <x:c r="M55" s="339"/>
      <x:c r="N55" s="339"/>
      <x:c r="O55" s="339"/>
      <x:c r="P55" s="339"/>
      <x:c r="Q55" s="339"/>
      <x:c r="R55" s="339"/>
      <x:c r="S55" s="339"/>
      <x:c r="T55" s="339"/>
      <x:c r="U55" s="1194"/>
      <x:c r="V55" s="1194"/>
      <x:c r="W55" s="1194"/>
      <x:c r="X55" s="1194"/>
      <x:c r="Y55" s="339"/>
      <x:c r="Z55" s="339"/>
    </x:row>
    <x:row r="56" ht="23" customHeight="1">
      <x:c r="A56" s="905" t="str">
        <x:v>Conditional national delivery scenarios and economic gates</x:v>
      </x:c>
      <x:c r="B56" s="905"/>
      <x:c r="C56" s="905"/>
      <x:c r="D56" s="905"/>
      <x:c r="E56" s="905"/>
      <x:c r="F56" s="905"/>
      <x:c r="G56" s="905"/>
      <x:c r="H56" s="905"/>
      <x:c r="I56" s="905"/>
      <x:c r="J56" s="905"/>
      <x:c r="K56" s="905"/>
      <x:c r="L56" s="905"/>
      <x:c r="M56" s="905"/>
      <x:c r="N56" s="905"/>
      <x:c r="O56" s="339"/>
      <x:c r="P56" s="339"/>
      <x:c r="Q56" s="339"/>
      <x:c r="R56" s="339"/>
      <x:c r="S56" s="339"/>
      <x:c r="T56" s="339"/>
      <x:c r="U56" s="1194"/>
      <x:c r="V56" s="1194"/>
      <x:c r="W56" s="1194"/>
      <x:c r="X56" s="1194"/>
      <x:c r="Y56" s="339"/>
      <x:c r="Z56" s="339"/>
    </x:row>
    <x:row r="57" ht="30" customHeight="1">
      <x:c r="A57" s="909" t="str">
        <x:v>Scenario</x:v>
      </x:c>
      <x:c r="B57" s="909" t="str">
        <x:v>Cost</x:v>
      </x:c>
      <x:c r="C57" s="909" t="str">
        <x:v>Earnings affected share</x:v>
      </x:c>
      <x:c r="D57" s="909" t="str">
        <x:v>Social break-even @ 4%</x:v>
      </x:c>
      <x:c r="E57" s="909" t="str">
        <x:v>Crown break-even @ 4%</x:v>
      </x:c>
      <x:c r="F57" s="909" t="str">
        <x:v>5% social BCR</x:v>
      </x:c>
      <x:c r="G57" s="909" t="str">
        <x:v>Committed funding</x:v>
      </x:c>
      <x:c r="H57" s="909" t="str">
        <x:v>Stage-gate status</x:v>
      </x:c>
      <x:c r="I57" s="909" t="str">
        <x:v>Universal group</x:v>
      </x:c>
      <x:c r="J57" s="909" t="str">
        <x:v>Targeted group</x:v>
      </x:c>
      <x:c r="K57" s="909" t="str">
        <x:v>Labour-market safeguard</x:v>
      </x:c>
      <x:c r="L57" s="909" t="str">
        <x:v>Source sheet</x:v>
      </x:c>
      <x:c r="M57" s="909" t="str">
        <x:v>Confidence</x:v>
      </x:c>
      <x:c r="N57" s="909" t="str">
        <x:v>Interpretation</x:v>
      </x:c>
      <x:c r="O57" s="339"/>
      <x:c r="P57" s="339"/>
      <x:c r="Q57" s="339"/>
      <x:c r="R57" s="339"/>
      <x:c r="S57" s="339"/>
      <x:c r="T57" s="339"/>
      <x:c r="U57" s="1194"/>
      <x:c r="V57" s="1194"/>
      <x:c r="W57" s="1194"/>
      <x:c r="X57" s="1194"/>
      <x:c r="Y57" s="339"/>
      <x:c r="Z57" s="339"/>
    </x:row>
    <x:row r="58">
      <x:c r="A58" s="28" t="str">
        <x:v>Universal core only</x:v>
      </x:c>
      <x:c r="B58" s="344" t="n">
        <x:f>'Delivery Scenarios'!$G$20</x:f>
        <x:v>825136870.3583333</x:v>
      </x:c>
      <x:c r="C58" s="347" t="n">
        <x:f>'Delivery Scenarios'!$J$20</x:f>
        <x:v>0.45</x:v>
      </x:c>
      <x:c r="D58" s="997" t="n">
        <x:f>'Human Capital &amp; Earnings'!$J$108</x:f>
        <x:v>0.05183174490521204</x:v>
      </x:c>
      <x:c r="E58" s="997" t="n">
        <x:f>'Human Capital &amp; Earnings'!$K$108</x:f>
        <x:v>0.19013128458612533</x:v>
      </x:c>
      <x:c r="F58" s="478" t="n">
        <x:f>'Human Capital &amp; Earnings'!$O$108</x:f>
        <x:v>0.9729393335676049</x:v>
      </x:c>
      <x:c r="G58" s="344" t="n">
        <x:f>'Delivery Scenarios'!$K$20</x:f>
        <x:v>0</x:v>
      </x:c>
      <x:c r="H58" s="994" t="str">
        <x:v>CONDITIONAL / NOT TESTED</x:v>
      </x:c>
      <x:c r="I58" s="28" t="str">
        <x:v>All participating students</x:v>
      </x:c>
      <x:c r="J58" s="28" t="str">
        <x:v>None beyond core</x:v>
      </x:c>
      <x:c r="K58" s="28" t="str">
        <x:v>General-equilibrium review</x:v>
      </x:c>
      <x:c r="L58" s="28" t="str">
        <x:v>Delivery Scenarios; Human Capital &amp; Earnings</x:v>
      </x:c>
      <x:c r="M58" s="28" t="str">
        <x:v>Low</x:v>
      </x:c>
      <x:c r="N58" s="28" t="str">
        <x:v>Lower-cost universal sensitivity</x:v>
      </x:c>
      <x:c r="O58" s="339"/>
      <x:c r="P58" s="339"/>
      <x:c r="Q58" s="339"/>
      <x:c r="R58" s="339"/>
      <x:c r="S58" s="339"/>
      <x:c r="T58" s="339"/>
      <x:c r="U58" s="1194"/>
      <x:c r="V58" s="1194"/>
      <x:c r="W58" s="1194"/>
      <x:c r="X58" s="1194"/>
      <x:c r="Y58" s="339"/>
      <x:c r="Z58" s="339"/>
    </x:row>
    <x:row r="59">
      <x:c r="A59" s="28" t="str">
        <x:v>Universal core plus targeted accelerator</x:v>
      </x:c>
      <x:c r="B59" s="344" t="n">
        <x:f>'Delivery Scenarios'!$G$21</x:f>
        <x:v>875015750.3583333</x:v>
      </x:c>
      <x:c r="C59" s="347" t="n">
        <x:f>'Delivery Scenarios'!$J$21</x:f>
        <x:v>0.55</x:v>
      </x:c>
      <x:c r="D59" s="997" t="n">
        <x:f>'Human Capital &amp; Earnings'!$J$111</x:f>
        <x:v>0.033256642039771675</x:v>
      </x:c>
      <x:c r="E59" s="997" t="n">
        <x:f>'Human Capital &amp; Earnings'!$K$111</x:f>
        <x:v>0.15033958524714106</x:v>
      </x:c>
      <x:c r="F59" s="478" t="n">
        <x:f>'Human Capital &amp; Earnings'!$O$111</x:f>
        <x:v>1.2818425933052784</x:v>
      </x:c>
      <x:c r="G59" s="344" t="n">
        <x:f>'Delivery Scenarios'!$K$21</x:f>
        <x:v>0</x:v>
      </x:c>
      <x:c r="H59" s="994" t="str">
        <x:v>CONDITIONAL / NOT TESTED</x:v>
      </x:c>
      <x:c r="I59" s="28" t="str">
        <x:v>All participating students</x:v>
      </x:c>
      <x:c r="J59" s="28" t="str">
        <x:v>Evidence-based accelerator share</x:v>
      </x:c>
      <x:c r="K59" s="28" t="str">
        <x:v>Pooled funding and independent forecasting</x:v>
      </x:c>
      <x:c r="L59" s="28" t="str">
        <x:v>Delivery Scenarios; Human Capital &amp; Earnings</x:v>
      </x:c>
      <x:c r="M59" s="28" t="str">
        <x:v>Low</x:v>
      </x:c>
      <x:c r="N59" s="28" t="str">
        <x:v>Structural sensitivity</x:v>
      </x:c>
      <x:c r="O59" s="339"/>
      <x:c r="P59" s="339"/>
      <x:c r="Q59" s="339"/>
      <x:c r="R59" s="339"/>
      <x:c r="S59" s="339"/>
      <x:c r="T59" s="339"/>
      <x:c r="U59" s="1194"/>
      <x:c r="V59" s="1194"/>
      <x:c r="W59" s="1194"/>
      <x:c r="X59" s="1194"/>
      <x:c r="Y59" s="339"/>
      <x:c r="Z59" s="339"/>
    </x:row>
    <x:row r="60">
      <x:c r="A60" s="28" t="str">
        <x:v>Targeted pilot</x:v>
      </x:c>
      <x:c r="B60" s="344" t="n">
        <x:f>'Delivery Scenarios'!$G$22</x:f>
        <x:v>97579970.263125</x:v>
      </x:c>
      <x:c r="C60" s="347" t="n">
        <x:f>'Delivery Scenarios'!$J$22</x:f>
        <x:v>0.6</x:v>
      </x:c>
      <x:c r="D60" s="997" t="n">
        <x:f>'Human Capital &amp; Earnings'!$J$114</x:f>
        <x:v>0.05168572155475939</x:v>
      </x:c>
      <x:c r="E60" s="997" t="n">
        <x:f>'Human Capital &amp; Earnings'!$K$114</x:f>
        <x:v>0.23373864282414236</x:v>
      </x:c>
      <x:c r="F60" s="478" t="n">
        <x:f>'Human Capital &amp; Earnings'!$O$114</x:f>
        <x:v>0.9815880320452496</x:v>
      </x:c>
      <x:c r="G60" s="344" t="n">
        <x:f>'Delivery Scenarios'!$K$22</x:f>
        <x:v>0</x:v>
      </x:c>
      <x:c r="H60" s="994" t="str">
        <x:v>CONDITIONAL / NOT TESTED</x:v>
      </x:c>
      <x:c r="I60" s="28" t="str">
        <x:v>Pilot treatment cohort</x:v>
      </x:c>
      <x:c r="J60" s="28" t="str">
        <x:v>Pilot treatment cohort</x:v>
      </x:c>
      <x:c r="K60" s="28" t="str">
        <x:v>Independent monitoring</x:v>
      </x:c>
      <x:c r="L60" s="28" t="str">
        <x:v>Stage 1; Stage-Gate Tests</x:v>
      </x:c>
      <x:c r="M60" s="28" t="str">
        <x:v>Low</x:v>
      </x:c>
      <x:c r="N60" s="28" t="str">
        <x:v>Evidence generation only</x:v>
      </x:c>
      <x:c r="O60" s="339"/>
      <x:c r="P60" s="339"/>
      <x:c r="Q60" s="339"/>
      <x:c r="R60" s="339"/>
      <x:c r="S60" s="339"/>
      <x:c r="T60" s="339"/>
      <x:c r="U60" s="1194"/>
      <x:c r="V60" s="1194"/>
      <x:c r="W60" s="1194"/>
      <x:c r="X60" s="1194"/>
      <x:c r="Y60" s="339"/>
      <x:c r="Z60" s="339"/>
    </x:row>
    <x:row r="61">
      <x:c r="A61" s="28" t="str">
        <x:v>Mature national design</x:v>
      </x:c>
      <x:c r="B61" s="344" t="n">
        <x:f>'Delivery Scenarios'!$G$23</x:f>
        <x:v>1526137729.0833335</x:v>
      </x:c>
      <x:c r="C61" s="347" t="n">
        <x:f>'Delivery Scenarios'!$J$23</x:f>
        <x:v>0.5</x:v>
      </x:c>
      <x:c r="D61" s="997" t="n">
        <x:f>'Human Capital &amp; Earnings'!$J$117</x:f>
        <x:v>0.0851002355478312</x:v>
      </x:c>
      <x:c r="E61" s="997" t="n">
        <x:f>'Human Capital &amp; Earnings'!$K$117</x:f>
        <x:v>0.3174347047868822</x:v>
      </x:c>
      <x:c r="F61" s="478" t="n">
        <x:f>'Human Capital &amp; Earnings'!$O$117</x:f>
        <x:v>0.6920334476956341</x:v>
      </x:c>
      <x:c r="G61" s="344" t="n">
        <x:f>'Delivery Scenarios'!$K$23</x:f>
        <x:v>0</x:v>
      </x:c>
      <x:c r="H61" s="994" t="str">
        <x:v>CONDITIONAL / NOT TESTED</x:v>
      </x:c>
      <x:c r="I61" s="28" t="str">
        <x:v>All active students</x:v>
      </x:c>
      <x:c r="J61" s="28" t="str">
        <x:v>No separate intensity in current cost model</x:v>
      </x:c>
      <x:c r="K61" s="28" t="str">
        <x:v>Independent labour-market gate</x:v>
      </x:c>
      <x:c r="L61" s="28" t="str">
        <x:v>Stage 2; Human Capital &amp; Earnings</x:v>
      </x:c>
      <x:c r="M61" s="28" t="str">
        <x:v>Low</x:v>
      </x:c>
      <x:c r="N61" s="28" t="str">
        <x:v>Conditional scale comparator</x:v>
      </x:c>
      <x:c r="O61" s="339"/>
      <x:c r="P61" s="339"/>
      <x:c r="Q61" s="339"/>
      <x:c r="R61" s="339"/>
      <x:c r="S61" s="339"/>
      <x:c r="T61" s="339"/>
      <x:c r="U61" s="1194"/>
      <x:c r="V61" s="1194"/>
      <x:c r="W61" s="1194"/>
      <x:c r="X61" s="1194"/>
      <x:c r="Y61" s="339"/>
      <x:c r="Z61" s="339"/>
    </x:row>
    <x:row r="62">
      <x:c r="A62" s="339"/>
      <x:c r="B62" s="339"/>
      <x:c r="C62" s="339"/>
      <x:c r="D62" s="339"/>
      <x:c r="E62" s="339"/>
      <x:c r="F62" s="339"/>
      <x:c r="G62" s="339"/>
      <x:c r="H62" s="339"/>
      <x:c r="I62" s="339"/>
      <x:c r="J62" s="339"/>
      <x:c r="K62" s="339"/>
      <x:c r="L62" s="339"/>
      <x:c r="M62" s="339"/>
      <x:c r="N62" s="339"/>
      <x:c r="O62" s="339"/>
      <x:c r="P62" s="339"/>
      <x:c r="Q62" s="339"/>
      <x:c r="R62" s="339"/>
      <x:c r="S62" s="339"/>
      <x:c r="T62" s="339"/>
      <x:c r="U62" s="1194"/>
      <x:c r="V62" s="1194"/>
      <x:c r="W62" s="1194"/>
      <x:c r="X62" s="1194"/>
      <x:c r="Y62" s="339"/>
      <x:c r="Z62" s="339"/>
    </x:row>
    <x:row r="63">
      <x:c r="A63" s="339"/>
      <x:c r="B63" s="339"/>
      <x:c r="C63" s="339"/>
      <x:c r="D63" s="339"/>
      <x:c r="E63" s="339"/>
      <x:c r="F63" s="339"/>
      <x:c r="G63" s="339"/>
      <x:c r="H63" s="339"/>
      <x:c r="I63" s="339"/>
      <x:c r="J63" s="339"/>
      <x:c r="K63" s="339"/>
      <x:c r="L63" s="339"/>
      <x:c r="M63" s="339"/>
      <x:c r="N63" s="339"/>
      <x:c r="O63" s="339"/>
      <x:c r="P63" s="339"/>
      <x:c r="Q63" s="339"/>
      <x:c r="R63" s="339"/>
      <x:c r="S63" s="339"/>
      <x:c r="T63" s="339"/>
      <x:c r="U63" s="1194"/>
      <x:c r="V63" s="1194"/>
      <x:c r="W63" s="1194"/>
      <x:c r="X63" s="1194"/>
      <x:c r="Y63" s="339"/>
      <x:c r="Z63" s="339"/>
    </x:row>
    <x:row r="64">
      <x:c r="A64" s="339"/>
      <x:c r="B64" s="339"/>
      <x:c r="C64" s="339"/>
      <x:c r="D64" s="339"/>
      <x:c r="E64" s="339"/>
      <x:c r="F64" s="339"/>
      <x:c r="G64" s="339"/>
      <x:c r="H64" s="339"/>
      <x:c r="I64" s="339"/>
      <x:c r="J64" s="339"/>
      <x:c r="K64" s="339"/>
      <x:c r="L64" s="339"/>
      <x:c r="M64" s="339"/>
      <x:c r="N64" s="339"/>
      <x:c r="O64" s="339"/>
      <x:c r="P64" s="339"/>
      <x:c r="Q64" s="339"/>
      <x:c r="R64" s="339"/>
      <x:c r="S64" s="339"/>
      <x:c r="T64" s="339"/>
      <x:c r="U64" s="1194"/>
      <x:c r="V64" s="1194"/>
      <x:c r="W64" s="1194"/>
      <x:c r="X64" s="1194"/>
      <x:c r="Y64" s="339"/>
      <x:c r="Z64" s="339"/>
    </x:row>
    <x:row r="65">
      <x:c r="A65" s="339"/>
      <x:c r="B65" s="339"/>
      <x:c r="C65" s="339"/>
      <x:c r="D65" s="339"/>
      <x:c r="E65" s="339"/>
      <x:c r="F65" s="339"/>
      <x:c r="G65" s="339"/>
      <x:c r="H65" s="339"/>
      <x:c r="I65" s="339"/>
      <x:c r="J65" s="339"/>
      <x:c r="K65" s="339"/>
      <x:c r="L65" s="339"/>
      <x:c r="M65" s="339"/>
      <x:c r="N65" s="339"/>
      <x:c r="O65" s="339"/>
      <x:c r="P65" s="339"/>
      <x:c r="Q65" s="339"/>
      <x:c r="R65" s="339"/>
      <x:c r="S65" s="339"/>
      <x:c r="T65" s="339"/>
      <x:c r="U65" s="1194"/>
      <x:c r="V65" s="1194"/>
      <x:c r="W65" s="1194"/>
      <x:c r="X65" s="1194"/>
      <x:c r="Y65" s="339"/>
      <x:c r="Z65" s="339"/>
    </x:row>
    <x:row r="66">
      <x:c r="A66" s="339"/>
      <x:c r="B66" s="339"/>
      <x:c r="C66" s="339"/>
      <x:c r="D66" s="339"/>
      <x:c r="E66" s="339"/>
      <x:c r="F66" s="339"/>
      <x:c r="G66" s="339"/>
      <x:c r="H66" s="339"/>
      <x:c r="I66" s="339"/>
      <x:c r="J66" s="339"/>
      <x:c r="K66" s="339"/>
      <x:c r="L66" s="339"/>
      <x:c r="M66" s="339"/>
      <x:c r="N66" s="339"/>
      <x:c r="O66" s="339"/>
      <x:c r="P66" s="339"/>
      <x:c r="Q66" s="339"/>
      <x:c r="R66" s="339"/>
      <x:c r="S66" s="339"/>
      <x:c r="T66" s="339"/>
      <x:c r="U66" s="1194"/>
      <x:c r="V66" s="1194"/>
      <x:c r="W66" s="1194"/>
      <x:c r="X66" s="1194"/>
      <x:c r="Y66" s="339"/>
      <x:c r="Z66" s="339"/>
    </x:row>
    <x:row r="67">
      <x:c r="A67" s="339"/>
      <x:c r="B67" s="339"/>
      <x:c r="C67" s="339"/>
      <x:c r="D67" s="339"/>
      <x:c r="E67" s="339"/>
      <x:c r="F67" s="339"/>
      <x:c r="G67" s="339"/>
      <x:c r="H67" s="339"/>
      <x:c r="I67" s="339"/>
      <x:c r="J67" s="339"/>
      <x:c r="K67" s="339"/>
      <x:c r="L67" s="339"/>
      <x:c r="M67" s="339"/>
      <x:c r="N67" s="339"/>
      <x:c r="O67" s="339"/>
      <x:c r="P67" s="339"/>
      <x:c r="Q67" s="339"/>
      <x:c r="R67" s="339"/>
      <x:c r="S67" s="339"/>
      <x:c r="T67" s="339"/>
      <x:c r="U67" s="1194"/>
      <x:c r="V67" s="1194"/>
      <x:c r="W67" s="1194"/>
      <x:c r="X67" s="1194"/>
      <x:c r="Y67" s="339"/>
      <x:c r="Z67" s="339"/>
    </x:row>
    <x:row r="68">
      <x:c r="A68" s="339"/>
      <x:c r="B68" s="339"/>
      <x:c r="C68" s="339"/>
      <x:c r="D68" s="339"/>
      <x:c r="E68" s="339"/>
      <x:c r="F68" s="339"/>
      <x:c r="G68" s="339"/>
      <x:c r="H68" s="339"/>
      <x:c r="I68" s="339"/>
      <x:c r="J68" s="339"/>
      <x:c r="K68" s="339"/>
      <x:c r="L68" s="339"/>
      <x:c r="M68" s="339"/>
      <x:c r="N68" s="339"/>
      <x:c r="O68" s="339"/>
      <x:c r="P68" s="339"/>
      <x:c r="Q68" s="339"/>
      <x:c r="R68" s="339"/>
      <x:c r="S68" s="339"/>
      <x:c r="T68" s="339"/>
      <x:c r="U68" s="1194"/>
      <x:c r="V68" s="1194"/>
      <x:c r="W68" s="1194"/>
      <x:c r="X68" s="1194"/>
      <x:c r="Y68" s="339"/>
      <x:c r="Z68" s="339"/>
    </x:row>
    <x:row r="69">
      <x:c r="A69" s="339"/>
      <x:c r="B69" s="339"/>
      <x:c r="C69" s="339"/>
      <x:c r="D69" s="339"/>
      <x:c r="E69" s="339"/>
      <x:c r="F69" s="339"/>
      <x:c r="G69" s="339"/>
      <x:c r="H69" s="339"/>
      <x:c r="I69" s="339"/>
      <x:c r="J69" s="339"/>
      <x:c r="K69" s="339"/>
      <x:c r="L69" s="339"/>
      <x:c r="M69" s="339"/>
      <x:c r="N69" s="339"/>
      <x:c r="O69" s="339"/>
      <x:c r="P69" s="339"/>
      <x:c r="Q69" s="339"/>
      <x:c r="R69" s="339"/>
      <x:c r="S69" s="339"/>
      <x:c r="T69" s="339"/>
      <x:c r="U69" s="1194"/>
      <x:c r="V69" s="1194"/>
      <x:c r="W69" s="1194"/>
      <x:c r="X69" s="1194"/>
      <x:c r="Y69" s="339"/>
      <x:c r="Z69" s="339"/>
    </x:row>
    <x:row r="70">
      <x:c r="A70" s="339"/>
      <x:c r="B70" s="339"/>
      <x:c r="C70" s="339"/>
      <x:c r="D70" s="339"/>
      <x:c r="E70" s="339"/>
      <x:c r="F70" s="339"/>
      <x:c r="G70" s="339"/>
      <x:c r="H70" s="339"/>
      <x:c r="I70" s="339"/>
      <x:c r="J70" s="339"/>
      <x:c r="K70" s="339"/>
      <x:c r="L70" s="339"/>
      <x:c r="M70" s="339"/>
      <x:c r="N70" s="339"/>
      <x:c r="O70" s="339"/>
      <x:c r="P70" s="339"/>
      <x:c r="Q70" s="339"/>
      <x:c r="R70" s="339"/>
      <x:c r="S70" s="339"/>
      <x:c r="T70" s="339"/>
      <x:c r="U70" s="1194"/>
      <x:c r="V70" s="1194"/>
      <x:c r="W70" s="1194"/>
      <x:c r="X70" s="1194"/>
      <x:c r="Y70" s="339"/>
      <x:c r="Z70" s="339"/>
    </x:row>
    <x:row r="71">
      <x:c r="A71" s="339"/>
      <x:c r="B71" s="339"/>
      <x:c r="C71" s="339"/>
      <x:c r="D71" s="339"/>
      <x:c r="E71" s="339"/>
      <x:c r="F71" s="339"/>
      <x:c r="G71" s="339"/>
      <x:c r="H71" s="339"/>
      <x:c r="I71" s="339"/>
      <x:c r="J71" s="339"/>
      <x:c r="K71" s="339"/>
      <x:c r="L71" s="339"/>
      <x:c r="M71" s="339"/>
      <x:c r="N71" s="339"/>
      <x:c r="O71" s="339"/>
      <x:c r="P71" s="339"/>
      <x:c r="Q71" s="339"/>
      <x:c r="R71" s="339"/>
      <x:c r="S71" s="339"/>
      <x:c r="T71" s="339"/>
      <x:c r="U71" s="1194"/>
      <x:c r="V71" s="1194"/>
      <x:c r="W71" s="1194"/>
      <x:c r="X71" s="1194"/>
      <x:c r="Y71" s="339"/>
      <x:c r="Z71" s="339"/>
    </x:row>
    <x:row r="72">
      <x:c r="A72" s="339"/>
      <x:c r="B72" s="339"/>
      <x:c r="C72" s="339"/>
      <x:c r="D72" s="339"/>
      <x:c r="E72" s="339"/>
      <x:c r="F72" s="339"/>
      <x:c r="G72" s="339"/>
      <x:c r="H72" s="339"/>
      <x:c r="I72" s="339"/>
      <x:c r="J72" s="339"/>
      <x:c r="K72" s="339"/>
      <x:c r="L72" s="339"/>
      <x:c r="M72" s="339"/>
      <x:c r="N72" s="339"/>
      <x:c r="O72" s="339"/>
      <x:c r="P72" s="339"/>
      <x:c r="Q72" s="339"/>
      <x:c r="R72" s="339"/>
      <x:c r="S72" s="339"/>
      <x:c r="T72" s="339"/>
      <x:c r="U72" s="1194"/>
      <x:c r="V72" s="1194"/>
      <x:c r="W72" s="1194"/>
      <x:c r="X72" s="1194"/>
      <x:c r="Y72" s="339"/>
      <x:c r="Z72" s="339"/>
    </x:row>
    <x:row r="73">
      <x:c r="A73" s="339"/>
      <x:c r="B73" s="339"/>
      <x:c r="C73" s="339"/>
      <x:c r="D73" s="339"/>
      <x:c r="E73" s="339"/>
      <x:c r="F73" s="339"/>
      <x:c r="G73" s="339"/>
      <x:c r="H73" s="339"/>
      <x:c r="I73" s="339"/>
      <x:c r="J73" s="339"/>
      <x:c r="K73" s="339"/>
      <x:c r="L73" s="339"/>
      <x:c r="M73" s="339"/>
      <x:c r="N73" s="339"/>
      <x:c r="O73" s="339"/>
      <x:c r="P73" s="339"/>
      <x:c r="Q73" s="339"/>
      <x:c r="R73" s="339"/>
      <x:c r="S73" s="339"/>
      <x:c r="T73" s="339"/>
      <x:c r="U73" s="1194"/>
      <x:c r="V73" s="1194"/>
      <x:c r="W73" s="1194"/>
      <x:c r="X73" s="1194"/>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1194"/>
      <x:c r="V74" s="1194"/>
      <x:c r="W74" s="1194"/>
      <x:c r="X74" s="1194"/>
      <x:c r="Y74" s="339"/>
      <x:c r="Z74" s="339"/>
    </x:row>
    <x:row r="75">
      <x:c r="A75" s="339"/>
      <x:c r="B75" s="339"/>
      <x:c r="C75" s="339"/>
      <x:c r="D75" s="339"/>
      <x:c r="E75" s="339"/>
      <x:c r="F75" s="339"/>
      <x:c r="G75" s="339"/>
      <x:c r="H75" s="339"/>
      <x:c r="I75" s="339"/>
      <x:c r="J75" s="339"/>
      <x:c r="K75" s="339"/>
      <x:c r="L75" s="339"/>
      <x:c r="M75" s="339"/>
      <x:c r="N75" s="339"/>
      <x:c r="O75" s="339"/>
      <x:c r="P75" s="339"/>
      <x:c r="Q75" s="339"/>
      <x:c r="R75" s="339"/>
      <x:c r="S75" s="339"/>
      <x:c r="T75" s="339"/>
      <x:c r="U75" s="1194"/>
      <x:c r="V75" s="1194"/>
      <x:c r="W75" s="1194"/>
      <x:c r="X75" s="1194"/>
      <x:c r="Y75" s="339"/>
      <x:c r="Z75" s="339"/>
    </x:row>
    <x:row r="76">
      <x:c r="A76" s="339"/>
      <x:c r="B76" s="339"/>
      <x:c r="C76" s="339"/>
      <x:c r="D76" s="339"/>
      <x:c r="E76" s="339"/>
      <x:c r="F76" s="339"/>
      <x:c r="G76" s="339"/>
      <x:c r="H76" s="339"/>
      <x:c r="I76" s="339"/>
      <x:c r="J76" s="339"/>
      <x:c r="K76" s="339"/>
      <x:c r="L76" s="339"/>
      <x:c r="M76" s="339"/>
      <x:c r="N76" s="339"/>
      <x:c r="O76" s="339"/>
      <x:c r="P76" s="339"/>
      <x:c r="Q76" s="339"/>
      <x:c r="R76" s="339"/>
      <x:c r="S76" s="339"/>
      <x:c r="T76" s="339"/>
      <x:c r="U76" s="1194"/>
      <x:c r="V76" s="1194"/>
      <x:c r="W76" s="1194"/>
      <x:c r="X76" s="1194"/>
      <x:c r="Y76" s="339"/>
      <x:c r="Z76" s="339"/>
    </x:row>
    <x:row r="77">
      <x:c r="A77" s="339"/>
      <x:c r="B77" s="339"/>
      <x:c r="C77" s="339"/>
      <x:c r="D77" s="339"/>
      <x:c r="E77" s="339"/>
      <x:c r="F77" s="339"/>
      <x:c r="G77" s="339"/>
      <x:c r="H77" s="339"/>
      <x:c r="I77" s="339"/>
      <x:c r="J77" s="339"/>
      <x:c r="K77" s="339"/>
      <x:c r="L77" s="339"/>
      <x:c r="M77" s="339"/>
      <x:c r="N77" s="339"/>
      <x:c r="O77" s="339"/>
      <x:c r="P77" s="339"/>
      <x:c r="Q77" s="339"/>
      <x:c r="R77" s="339"/>
      <x:c r="S77" s="339"/>
      <x:c r="T77" s="339"/>
      <x:c r="U77" s="1194"/>
      <x:c r="V77" s="1194"/>
      <x:c r="W77" s="1194"/>
      <x:c r="X77" s="1194"/>
      <x:c r="Y77" s="339"/>
      <x:c r="Z77" s="339"/>
    </x:row>
    <x:row r="78">
      <x:c r="A78" s="339"/>
      <x:c r="B78" s="339"/>
      <x:c r="C78" s="339"/>
      <x:c r="D78" s="339"/>
      <x:c r="E78" s="339"/>
      <x:c r="F78" s="339"/>
      <x:c r="G78" s="339"/>
      <x:c r="H78" s="339"/>
      <x:c r="I78" s="339"/>
      <x:c r="J78" s="339"/>
      <x:c r="K78" s="339"/>
      <x:c r="L78" s="339"/>
      <x:c r="M78" s="339"/>
      <x:c r="N78" s="339"/>
      <x:c r="O78" s="339"/>
      <x:c r="P78" s="339"/>
      <x:c r="Q78" s="339"/>
      <x:c r="R78" s="339"/>
      <x:c r="S78" s="339"/>
      <x:c r="T78" s="339"/>
      <x:c r="U78" s="1194"/>
      <x:c r="V78" s="1194"/>
      <x:c r="W78" s="1194"/>
      <x:c r="X78" s="1194"/>
      <x:c r="Y78" s="339"/>
      <x:c r="Z78" s="339"/>
    </x:row>
    <x:row r="79">
      <x:c r="A79" s="339"/>
      <x:c r="B79" s="339"/>
      <x:c r="C79" s="339"/>
      <x:c r="D79" s="339"/>
      <x:c r="E79" s="339"/>
      <x:c r="F79" s="339"/>
      <x:c r="G79" s="339"/>
      <x:c r="H79" s="339"/>
      <x:c r="I79" s="339"/>
      <x:c r="J79" s="339"/>
      <x:c r="K79" s="339"/>
      <x:c r="L79" s="339"/>
      <x:c r="M79" s="339"/>
      <x:c r="N79" s="339"/>
      <x:c r="O79" s="339"/>
      <x:c r="P79" s="339"/>
      <x:c r="Q79" s="339"/>
      <x:c r="R79" s="339"/>
      <x:c r="S79" s="339"/>
      <x:c r="T79" s="339"/>
      <x:c r="U79" s="1194"/>
      <x:c r="V79" s="1194"/>
      <x:c r="W79" s="1194"/>
      <x:c r="X79" s="1194"/>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1194"/>
      <x:c r="V80" s="1194"/>
      <x:c r="W80" s="1194"/>
      <x:c r="X80" s="1194"/>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1194"/>
      <x:c r="V81" s="1194"/>
      <x:c r="W81" s="1194"/>
      <x:c r="X81" s="1194"/>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1194"/>
      <x:c r="V82" s="1194"/>
      <x:c r="W82" s="1194"/>
      <x:c r="X82" s="1194"/>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1194"/>
      <x:c r="V83" s="1194"/>
      <x:c r="W83" s="1194"/>
      <x:c r="X83" s="1194"/>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1194"/>
      <x:c r="V84" s="1194"/>
      <x:c r="W84" s="1194"/>
      <x:c r="X84" s="1194"/>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1194"/>
      <x:c r="V85" s="1194"/>
      <x:c r="W85" s="1194"/>
      <x:c r="X85" s="1194"/>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1194"/>
      <x:c r="V86" s="1194"/>
      <x:c r="W86" s="1194"/>
      <x:c r="X86" s="1194"/>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1194"/>
      <x:c r="V87" s="1194"/>
      <x:c r="W87" s="1194"/>
      <x:c r="X87" s="1194"/>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1194"/>
      <x:c r="V88" s="1194"/>
      <x:c r="W88" s="1194"/>
      <x:c r="X88" s="1194"/>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1194"/>
      <x:c r="V89" s="1194"/>
      <x:c r="W89" s="1194"/>
      <x:c r="X89" s="1194"/>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1194"/>
      <x:c r="V90" s="1194"/>
      <x:c r="W90" s="1194"/>
      <x:c r="X90" s="1194"/>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1194"/>
      <x:c r="V91" s="1194"/>
      <x:c r="W91" s="1194"/>
      <x:c r="X91" s="1194"/>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1194"/>
      <x:c r="V92" s="1194"/>
      <x:c r="W92" s="1194"/>
      <x:c r="X92" s="1194"/>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1194"/>
      <x:c r="V93" s="1194"/>
      <x:c r="W93" s="1194"/>
      <x:c r="X93" s="1194"/>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1194"/>
      <x:c r="V94" s="1194"/>
      <x:c r="W94" s="1194"/>
      <x:c r="X94" s="1194"/>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1194"/>
      <x:c r="V95" s="1194"/>
      <x:c r="W95" s="1194"/>
      <x:c r="X95" s="1194"/>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1194"/>
      <x:c r="V96" s="1194"/>
      <x:c r="W96" s="1194"/>
      <x:c r="X96" s="1194"/>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1194"/>
      <x:c r="V97" s="1194"/>
      <x:c r="W97" s="1194"/>
      <x:c r="X97" s="1194"/>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1194"/>
      <x:c r="V98" s="1194"/>
      <x:c r="W98" s="1194"/>
      <x:c r="X98" s="1194"/>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1194"/>
      <x:c r="V99" s="1194"/>
      <x:c r="W99" s="1194"/>
      <x:c r="X99" s="1194"/>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1194"/>
      <x:c r="V100" s="1194"/>
      <x:c r="W100" s="1194"/>
      <x:c r="X100" s="1194"/>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1194"/>
      <x:c r="V101" s="1194"/>
      <x:c r="W101" s="1194"/>
      <x:c r="X101" s="1194"/>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1194"/>
      <x:c r="V102" s="1194"/>
      <x:c r="W102" s="1194"/>
      <x:c r="X102" s="1194"/>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1194"/>
      <x:c r="V103" s="1194"/>
      <x:c r="W103" s="1194"/>
      <x:c r="X103" s="1194"/>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1194"/>
      <x:c r="V104" s="1194"/>
      <x:c r="W104" s="1194"/>
      <x:c r="X104" s="1194"/>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1194"/>
      <x:c r="V105" s="1194"/>
      <x:c r="W105" s="1194"/>
      <x:c r="X105" s="1194"/>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1194"/>
      <x:c r="V106" s="1194"/>
      <x:c r="W106" s="1194"/>
      <x:c r="X106" s="1194"/>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1194"/>
      <x:c r="V107" s="1194"/>
      <x:c r="W107" s="1194"/>
      <x:c r="X107" s="1194"/>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1194"/>
      <x:c r="V108" s="1194"/>
      <x:c r="W108" s="1194"/>
      <x:c r="X108" s="1194"/>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1194"/>
      <x:c r="V109" s="1194"/>
      <x:c r="W109" s="1194"/>
      <x:c r="X109" s="1194"/>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1194"/>
      <x:c r="V110" s="1194"/>
      <x:c r="W110" s="1194"/>
      <x:c r="X110" s="1194"/>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1194"/>
      <x:c r="V111" s="1194"/>
      <x:c r="W111" s="1194"/>
      <x:c r="X111" s="1194"/>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1194"/>
      <x:c r="V112" s="1194"/>
      <x:c r="W112" s="1194"/>
      <x:c r="X112" s="1194"/>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1194"/>
      <x:c r="V113" s="1194"/>
      <x:c r="W113" s="1194"/>
      <x:c r="X113" s="1194"/>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1194"/>
      <x:c r="V114" s="1194"/>
      <x:c r="W114" s="1194"/>
      <x:c r="X114" s="1194"/>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1194"/>
      <x:c r="V115" s="1194"/>
      <x:c r="W115" s="1194"/>
      <x:c r="X115" s="1194"/>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1194"/>
      <x:c r="V116" s="1194"/>
      <x:c r="W116" s="1194"/>
      <x:c r="X116" s="1194"/>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1194"/>
      <x:c r="V117" s="1194"/>
      <x:c r="W117" s="1194"/>
      <x:c r="X117" s="1194"/>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1194"/>
      <x:c r="V118" s="1194"/>
      <x:c r="W118" s="1194"/>
      <x:c r="X118" s="1194"/>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1194"/>
      <x:c r="V119" s="1194"/>
      <x:c r="W119" s="1194"/>
      <x:c r="X119" s="1194"/>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1194"/>
      <x:c r="V120" s="1194"/>
      <x:c r="W120" s="1194"/>
      <x:c r="X120" s="1194"/>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1194"/>
      <x:c r="V121" s="1194"/>
      <x:c r="W121" s="1194"/>
      <x:c r="X121" s="1194"/>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1194"/>
      <x:c r="V122" s="1194"/>
      <x:c r="W122" s="1194"/>
      <x:c r="X122" s="1194"/>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1194"/>
      <x:c r="V123" s="1194"/>
      <x:c r="W123" s="1194"/>
      <x:c r="X123" s="1194"/>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1194"/>
      <x:c r="V124" s="1194"/>
      <x:c r="W124" s="1194"/>
      <x:c r="X124" s="1194"/>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1194"/>
      <x:c r="V125" s="1194"/>
      <x:c r="W125" s="1194"/>
      <x:c r="X125" s="1194"/>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1194"/>
      <x:c r="V126" s="1194"/>
      <x:c r="W126" s="1194"/>
      <x:c r="X126" s="1194"/>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1194"/>
      <x:c r="V127" s="1194"/>
      <x:c r="W127" s="1194"/>
      <x:c r="X127" s="1194"/>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1194"/>
      <x:c r="V128" s="1194"/>
      <x:c r="W128" s="1194"/>
      <x:c r="X128" s="1194"/>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1194"/>
      <x:c r="V129" s="1194"/>
      <x:c r="W129" s="1194"/>
      <x:c r="X129" s="1194"/>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1194"/>
      <x:c r="V130" s="1194"/>
      <x:c r="W130" s="1194"/>
      <x:c r="X130" s="1194"/>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1194"/>
      <x:c r="V131" s="1194"/>
      <x:c r="W131" s="1194"/>
      <x:c r="X131" s="1194"/>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1194"/>
      <x:c r="V132" s="1194"/>
      <x:c r="W132" s="1194"/>
      <x:c r="X132" s="1194"/>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1194"/>
      <x:c r="V133" s="1194"/>
      <x:c r="W133" s="1194"/>
      <x:c r="X133" s="1194"/>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1194"/>
      <x:c r="V134" s="1194"/>
      <x:c r="W134" s="1194"/>
      <x:c r="X134" s="1194"/>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1194"/>
      <x:c r="V135" s="1194"/>
      <x:c r="W135" s="1194"/>
      <x:c r="X135" s="1194"/>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1194"/>
      <x:c r="V136" s="1194"/>
      <x:c r="W136" s="1194"/>
      <x:c r="X136" s="1194"/>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1194"/>
      <x:c r="V137" s="1194"/>
      <x:c r="W137" s="1194"/>
      <x:c r="X137" s="1194"/>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1194"/>
      <x:c r="V138" s="1194"/>
      <x:c r="W138" s="1194"/>
      <x:c r="X138" s="1194"/>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1194"/>
      <x:c r="V139" s="1194"/>
      <x:c r="W139" s="1194"/>
      <x:c r="X139" s="1194"/>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1194"/>
      <x:c r="V140" s="1194"/>
      <x:c r="W140" s="1194"/>
      <x:c r="X140" s="1194"/>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1194"/>
      <x:c r="V141" s="1194"/>
      <x:c r="W141" s="1194"/>
      <x:c r="X141" s="1194"/>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1194"/>
      <x:c r="V142" s="1194"/>
      <x:c r="W142" s="1194"/>
      <x:c r="X142" s="1194"/>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1194"/>
      <x:c r="V143" s="1194"/>
      <x:c r="W143" s="1194"/>
      <x:c r="X143" s="1194"/>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1194"/>
      <x:c r="V144" s="1194"/>
      <x:c r="W144" s="1194"/>
      <x:c r="X144" s="1194"/>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1194"/>
      <x:c r="V145" s="1194"/>
      <x:c r="W145" s="1194"/>
      <x:c r="X145" s="1194"/>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1194"/>
      <x:c r="V146" s="1194"/>
      <x:c r="W146" s="1194"/>
      <x:c r="X146" s="1194"/>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1194"/>
      <x:c r="V147" s="1194"/>
      <x:c r="W147" s="1194"/>
      <x:c r="X147" s="1194"/>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1194"/>
      <x:c r="V148" s="1194"/>
      <x:c r="W148" s="1194"/>
      <x:c r="X148" s="1194"/>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1194"/>
      <x:c r="V149" s="1194"/>
      <x:c r="W149" s="1194"/>
      <x:c r="X149" s="1194"/>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1194"/>
      <x:c r="V150" s="1194"/>
      <x:c r="W150" s="1194"/>
      <x:c r="X150" s="1194"/>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1194"/>
      <x:c r="V151" s="1194"/>
      <x:c r="W151" s="1194"/>
      <x:c r="X151" s="1194"/>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1194"/>
      <x:c r="V152" s="1194"/>
      <x:c r="W152" s="1194"/>
      <x:c r="X152" s="1194"/>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1194"/>
      <x:c r="V153" s="1194"/>
      <x:c r="W153" s="1194"/>
      <x:c r="X153" s="1194"/>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1194"/>
      <x:c r="V154" s="1194"/>
      <x:c r="W154" s="1194"/>
      <x:c r="X154" s="1194"/>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1194"/>
      <x:c r="V155" s="1194"/>
      <x:c r="W155" s="1194"/>
      <x:c r="X155" s="1194"/>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1194"/>
      <x:c r="V156" s="1194"/>
      <x:c r="W156" s="1194"/>
      <x:c r="X156" s="1194"/>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1194"/>
      <x:c r="V157" s="1194"/>
      <x:c r="W157" s="1194"/>
      <x:c r="X157" s="1194"/>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1194"/>
      <x:c r="V158" s="1194"/>
      <x:c r="W158" s="1194"/>
      <x:c r="X158" s="1194"/>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1194"/>
      <x:c r="V159" s="1194"/>
      <x:c r="W159" s="1194"/>
      <x:c r="X159" s="1194"/>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1194"/>
      <x:c r="V160" s="1194"/>
      <x:c r="W160" s="1194"/>
      <x:c r="X160" s="1194"/>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1194"/>
      <x:c r="V161" s="1194"/>
      <x:c r="W161" s="1194"/>
      <x:c r="X161" s="1194"/>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1194"/>
      <x:c r="V162" s="1194"/>
      <x:c r="W162" s="1194"/>
      <x:c r="X162" s="1194"/>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1194"/>
      <x:c r="V163" s="1194"/>
      <x:c r="W163" s="1194"/>
      <x:c r="X163" s="1194"/>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1194"/>
      <x:c r="V164" s="1194"/>
      <x:c r="W164" s="1194"/>
      <x:c r="X164" s="1194"/>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1194"/>
      <x:c r="V165" s="1194"/>
      <x:c r="W165" s="1194"/>
      <x:c r="X165" s="1194"/>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1194"/>
      <x:c r="V166" s="1194"/>
      <x:c r="W166" s="1194"/>
      <x:c r="X166" s="1194"/>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1194"/>
      <x:c r="V167" s="1194"/>
      <x:c r="W167" s="1194"/>
      <x:c r="X167" s="1194"/>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1194"/>
      <x:c r="V168" s="1194"/>
      <x:c r="W168" s="1194"/>
      <x:c r="X168" s="1194"/>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1194"/>
      <x:c r="V169" s="1194"/>
      <x:c r="W169" s="1194"/>
      <x:c r="X169" s="1194"/>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1194"/>
      <x:c r="V170" s="1194"/>
      <x:c r="W170" s="1194"/>
      <x:c r="X170" s="1194"/>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1194"/>
      <x:c r="V171" s="1194"/>
      <x:c r="W171" s="1194"/>
      <x:c r="X171" s="1194"/>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1194"/>
      <x:c r="V172" s="1194"/>
      <x:c r="W172" s="1194"/>
      <x:c r="X172" s="1194"/>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1194"/>
      <x:c r="V173" s="1194"/>
      <x:c r="W173" s="1194"/>
      <x:c r="X173" s="1194"/>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1194"/>
      <x:c r="V174" s="1194"/>
      <x:c r="W174" s="1194"/>
      <x:c r="X174" s="1194"/>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1194"/>
      <x:c r="V175" s="1194"/>
      <x:c r="W175" s="1194"/>
      <x:c r="X175" s="1194"/>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1194"/>
      <x:c r="V176" s="1194"/>
      <x:c r="W176" s="1194"/>
      <x:c r="X176" s="1194"/>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1194"/>
      <x:c r="V177" s="1194"/>
      <x:c r="W177" s="1194"/>
      <x:c r="X177" s="1194"/>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1194"/>
      <x:c r="V178" s="1194"/>
      <x:c r="W178" s="1194"/>
      <x:c r="X178" s="1194"/>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1194"/>
      <x:c r="V179" s="1194"/>
      <x:c r="W179" s="1194"/>
      <x:c r="X179" s="1194"/>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1194"/>
      <x:c r="V180" s="1194"/>
      <x:c r="W180" s="1194"/>
      <x:c r="X180" s="1194"/>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1194"/>
      <x:c r="V181" s="1194"/>
      <x:c r="W181" s="1194"/>
      <x:c r="X181" s="1194"/>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1194"/>
      <x:c r="V182" s="1194"/>
      <x:c r="W182" s="1194"/>
      <x:c r="X182" s="1194"/>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1194"/>
      <x:c r="V183" s="1194"/>
      <x:c r="W183" s="1194"/>
      <x:c r="X183" s="1194"/>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1194"/>
      <x:c r="V184" s="1194"/>
      <x:c r="W184" s="1194"/>
      <x:c r="X184" s="1194"/>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1194"/>
      <x:c r="V185" s="1194"/>
      <x:c r="W185" s="1194"/>
      <x:c r="X185" s="1194"/>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1194"/>
      <x:c r="V186" s="1194"/>
      <x:c r="W186" s="1194"/>
      <x:c r="X186" s="1194"/>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1194"/>
      <x:c r="V187" s="1194"/>
      <x:c r="W187" s="1194"/>
      <x:c r="X187" s="1194"/>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1194"/>
      <x:c r="V188" s="1194"/>
      <x:c r="W188" s="1194"/>
      <x:c r="X188" s="1194"/>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1194"/>
      <x:c r="V189" s="1194"/>
      <x:c r="W189" s="1194"/>
      <x:c r="X189" s="1194"/>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1194"/>
      <x:c r="V190" s="1194"/>
      <x:c r="W190" s="1194"/>
      <x:c r="X190" s="1194"/>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1194"/>
      <x:c r="V191" s="1194"/>
      <x:c r="W191" s="1194"/>
      <x:c r="X191" s="1194"/>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1194"/>
      <x:c r="V192" s="1194"/>
      <x:c r="W192" s="1194"/>
      <x:c r="X192" s="1194"/>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1194"/>
      <x:c r="V193" s="1194"/>
      <x:c r="W193" s="1194"/>
      <x:c r="X193" s="1194"/>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1194"/>
      <x:c r="V194" s="1194"/>
      <x:c r="W194" s="1194"/>
      <x:c r="X194" s="1194"/>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1194"/>
      <x:c r="V195" s="1194"/>
      <x:c r="W195" s="1194"/>
      <x:c r="X195" s="1194"/>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1194"/>
      <x:c r="V196" s="1194"/>
      <x:c r="W196" s="1194"/>
      <x:c r="X196" s="1194"/>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1194"/>
      <x:c r="V197" s="1194"/>
      <x:c r="W197" s="1194"/>
      <x:c r="X197" s="1194"/>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1194"/>
      <x:c r="V198" s="1194"/>
      <x:c r="W198" s="1194"/>
      <x:c r="X198" s="1194"/>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1194"/>
      <x:c r="V199" s="1194"/>
      <x:c r="W199" s="1194"/>
      <x:c r="X199" s="1194"/>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1194"/>
      <x:c r="V200" s="1194"/>
      <x:c r="W200" s="1194"/>
      <x:c r="X200" s="1194"/>
      <x:c r="Y200" s="339"/>
      <x:c r="Z200" s="339"/>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N1"/>
    <x:mergeCell ref="A2:N2"/>
    <x:mergeCell ref="K4:N4"/>
    <x:mergeCell ref="A9:N9"/>
    <x:mergeCell ref="A12:N12"/>
    <x:mergeCell ref="A16:N16"/>
    <x:mergeCell ref="A23:D23"/>
    <x:mergeCell ref="L23:N23"/>
    <x:mergeCell ref="A25:N25"/>
    <x:mergeCell ref="A28:D28"/>
    <x:mergeCell ref="L28:N28"/>
    <x:mergeCell ref="A30:N30"/>
    <x:mergeCell ref="A34:D34"/>
    <x:mergeCell ref="L34:N34"/>
    <x:mergeCell ref="A36:N36"/>
    <x:mergeCell ref="A40:D40"/>
    <x:mergeCell ref="L40:N40"/>
    <x:mergeCell ref="A42:N42"/>
    <x:mergeCell ref="A44:D44"/>
    <x:mergeCell ref="L44:N44"/>
    <x:mergeCell ref="A46:D46"/>
    <x:mergeCell ref="L46:N46"/>
    <x:mergeCell ref="A47:D47"/>
    <x:mergeCell ref="L47:N47"/>
    <x:mergeCell ref="A48:D48"/>
    <x:mergeCell ref="L48:N48"/>
    <x:mergeCell ref="A51:N51"/>
    <x:mergeCell ref="A56:N56"/>
    <x:mergeCell ref="U1:X1"/>
    <x:mergeCell ref="V2:X2"/>
    <x:mergeCell ref="V3:X3"/>
    <x:mergeCell ref="V4:X4"/>
    <x:mergeCell ref="V5:X5"/>
    <x:mergeCell ref="V6:X6"/>
    <x:mergeCell ref="V7:X7"/>
  </x:mergeCells>
  <x:pageMargins left="0.7" right="0.7" top="0.75" bottom="0.75" header="0.3" footer="0.3"/>
</x:worksheet>
</file>

<file path=xl/worksheets/sheet17.xml><?xml version="1.0" encoding="utf-8"?>
<x:worksheet xmlns:x="http://schemas.openxmlformats.org/spreadsheetml/2006/main">
  <x:sheetFormatPr defaultRowHeight="15"/>
  <x:cols>
    <x:col min="1" max="1" width="46" hidden="0" customWidth="1"/>
    <x:col min="2" max="2" width="20" hidden="0" customWidth="1"/>
    <x:col min="3" max="3" width="20" hidden="0" customWidth="1"/>
    <x:col min="4" max="4" width="22" hidden="0" customWidth="1"/>
    <x:col min="5" max="5" width="27" hidden="0" customWidth="1"/>
    <x:col min="6" max="6" width="27" hidden="0" customWidth="1"/>
    <x:col min="7" max="7" width="27" hidden="0" customWidth="1"/>
    <x:col min="8" max="8" width="27" hidden="0" customWidth="1"/>
    <x:col min="21" max="21" width="20" hidden="0" customWidth="1"/>
    <x:col min="22" max="22" width="24" hidden="0" customWidth="1"/>
    <x:col min="23" max="23" width="24" hidden="0" customWidth="1"/>
    <x:col min="24" max="24" width="24" hidden="0" customWidth="1"/>
  </x:cols>
  <x:sheetData>
    <x:row r="1" ht="30" customHeight="1">
      <x:c r="A1" s="338" t="str">
        <x:v>Benefits, Whole-Cohort Earnings and Break-even</x:v>
      </x:c>
      <x:c r="B1" s="338" t="str">
        <x:v>Benefits, Break-even and the Pacheco–Dye Test</x:v>
      </x:c>
      <x:c r="C1" s="338" t="str">
        <x:v>Benefits, Break-even and the Pacheco–Dye Test</x:v>
      </x:c>
      <x:c r="D1" s="338" t="str">
        <x:v>Benefits, Break-even and the Pacheco–Dye Test</x:v>
      </x:c>
      <x:c r="E1" s="338" t="str">
        <x:v>Benefits, Break-even and the Pacheco–Dye Test</x:v>
      </x:c>
      <x:c r="F1" s="338" t="str">
        <x:v>Benefits, Break-even and the Pacheco–Dye Test</x:v>
      </x:c>
      <x:c r="G1" s="338" t="str">
        <x:v>Benefits, Break-even and the Pacheco–Dye Test</x:v>
      </x:c>
      <x:c r="H1" s="338" t="str">
        <x:v>Benefits, Break-even and the Pacheco–Dye Test</x:v>
      </x:c>
      <x:c r="I1" s="339"/>
      <x:c r="J1" s="339"/>
      <x:c r="K1" s="339"/>
      <x:c r="L1" s="339"/>
      <x:c r="M1" s="339"/>
      <x:c r="N1" s="339"/>
      <x:c r="O1" s="339"/>
      <x:c r="P1" s="339"/>
      <x:c r="Q1" s="339"/>
      <x:c r="R1" s="339"/>
      <x:c r="S1" s="339"/>
      <x:c r="T1" s="339"/>
      <x:c r="U1" s="1194"/>
      <x:c r="V1" s="1194"/>
      <x:c r="W1" s="1194"/>
      <x:c r="X1" s="1194"/>
      <x:c r="Y1" s="339"/>
      <x:c r="Z1" s="339"/>
    </x:row>
    <x:row r="2" ht="28" customHeight="1">
      <x:c r="A2" s="340" t="str">
        <x:v>Headline benefits deliberately exclude justice, health and victim impacts. The model separates short-term NZ evidence from the low-confidence lifetime extrapolation.</x:v>
      </x:c>
      <x:c r="B2" s="340" t="str">
        <x:v>Headline benefits deliberately exclude justice, health and victim impacts. The model separates short-term NZ evidence from the low-confidence lifetime extrapolation.</x:v>
      </x:c>
      <x:c r="C2" s="340" t="str">
        <x:v>Headline benefits deliberately exclude justice, health and victim impacts. The model separates short-term NZ evidence from the low-confidence lifetime extrapolation.</x:v>
      </x:c>
      <x:c r="D2" s="340" t="str">
        <x:v>Headline benefits deliberately exclude justice, health and victim impacts. The model separates short-term NZ evidence from the low-confidence lifetime extrapolation.</x:v>
      </x:c>
      <x:c r="E2" s="340" t="str">
        <x:v>Headline benefits deliberately exclude justice, health and victim impacts. The model separates short-term NZ evidence from the low-confidence lifetime extrapolation.</x:v>
      </x:c>
      <x:c r="F2" s="340" t="str">
        <x:v>Headline benefits deliberately exclude justice, health and victim impacts. The model separates short-term NZ evidence from the low-confidence lifetime extrapolation.</x:v>
      </x:c>
      <x:c r="G2" s="340" t="str">
        <x:v>Headline benefits deliberately exclude justice, health and victim impacts. The model separates short-term NZ evidence from the low-confidence lifetime extrapolation.</x:v>
      </x:c>
      <x:c r="H2" s="340" t="str">
        <x:v>Headline benefits deliberately exclude justice, health and victim impacts. The model separates short-term NZ evidence from the low-confidence lifetime extrapolation.</x:v>
      </x:c>
      <x:c r="I2" s="339"/>
      <x:c r="J2" s="339"/>
      <x:c r="K2" s="339"/>
      <x:c r="L2" s="339"/>
      <x:c r="M2" s="339"/>
      <x:c r="N2" s="339"/>
      <x:c r="O2" s="339"/>
      <x:c r="P2" s="339"/>
      <x:c r="Q2" s="339"/>
      <x:c r="R2" s="339"/>
      <x:c r="S2" s="339"/>
      <x:c r="T2" s="339"/>
      <x:c r="U2" s="1195"/>
      <x:c r="V2" s="1195"/>
      <x:c r="W2" s="1195"/>
      <x:c r="X2" s="1195"/>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1195"/>
      <x:c r="V3" s="1195"/>
      <x:c r="W3" s="1195"/>
      <x:c r="X3" s="1195"/>
      <x:c r="Y3" s="339"/>
      <x:c r="Z3" s="339"/>
    </x:row>
    <x:row r="4" ht="28" customHeight="1">
      <x:c r="A4" s="343" t="str">
        <x:v>Metric</x:v>
      </x:c>
      <x:c r="B4" s="343" t="str">
        <x:v>Pilot central</x:v>
      </x:c>
      <x:c r="C4" s="343" t="str">
        <x:v>National central</x:v>
      </x:c>
      <x:c r="D4" s="343" t="str">
        <x:v>Unit</x:v>
      </x:c>
      <x:c r="E4" s="343" t="str">
        <x:v>Source ID</x:v>
      </x:c>
      <x:c r="F4" s="343" t="str">
        <x:v>Evidence strength</x:v>
      </x:c>
      <x:c r="G4" s="343" t="str">
        <x:v>Included in headline BCR?</x:v>
      </x:c>
      <x:c r="H4" s="343" t="str">
        <x:v>Interpretation</x:v>
      </x:c>
      <x:c r="I4" s="339"/>
      <x:c r="J4" s="339"/>
      <x:c r="K4" s="339"/>
      <x:c r="L4" s="339"/>
      <x:c r="M4" s="339"/>
      <x:c r="N4" s="339"/>
      <x:c r="O4" s="339"/>
      <x:c r="P4" s="339"/>
      <x:c r="Q4" s="339"/>
      <x:c r="R4" s="339"/>
      <x:c r="S4" s="339"/>
      <x:c r="T4" s="339"/>
      <x:c r="U4" s="1195"/>
      <x:c r="V4" s="1195"/>
      <x:c r="W4" s="1195"/>
      <x:c r="X4" s="1195"/>
      <x:c r="Y4" s="339"/>
      <x:c r="Z4" s="339"/>
    </x:row>
    <x:row r="5" ht="21" customHeight="1">
      <x:c r="A5" s="368" t="str">
        <x:v>Pacheco &amp; Dye benchmark — current-dollar values</x:v>
      </x:c>
      <x:c r="B5" s="368" t="str">
        <x:v>Pacheco &amp; Dye benchmark — current-dollar values</x:v>
      </x:c>
      <x:c r="C5" s="368" t="str">
        <x:v>Pacheco &amp; Dye benchmark — current-dollar values</x:v>
      </x:c>
      <x:c r="D5" s="368" t="str">
        <x:v>Pacheco &amp; Dye benchmark — current-dollar values</x:v>
      </x:c>
      <x:c r="E5" s="368" t="str">
        <x:v>Pacheco &amp; Dye benchmark — current-dollar values</x:v>
      </x:c>
      <x:c r="F5" s="368" t="str">
        <x:v>Pacheco &amp; Dye benchmark — current-dollar values</x:v>
      </x:c>
      <x:c r="G5" s="368" t="str">
        <x:v>Pacheco &amp; Dye benchmark — current-dollar values</x:v>
      </x:c>
      <x:c r="H5" s="368" t="str">
        <x:v>Pacheco &amp; Dye benchmark — current-dollar values</x:v>
      </x:c>
      <x:c r="I5" s="339"/>
      <x:c r="J5" s="339"/>
      <x:c r="K5" s="339"/>
      <x:c r="L5" s="339"/>
      <x:c r="M5" s="339"/>
      <x:c r="N5" s="339"/>
      <x:c r="O5" s="339"/>
      <x:c r="P5" s="339"/>
      <x:c r="Q5" s="339"/>
      <x:c r="R5" s="339"/>
      <x:c r="S5" s="339"/>
      <x:c r="T5" s="339"/>
      <x:c r="U5" s="1195"/>
      <x:c r="V5" s="1195"/>
      <x:c r="W5" s="1195"/>
      <x:c r="X5" s="1195"/>
      <x:c r="Y5" s="339"/>
      <x:c r="Z5" s="339"/>
    </x:row>
    <x:row r="6">
      <x:c r="A6" s="28" t="str">
        <x:v>Short-term productivity loss / avoided cost per sustained NEET case</x:v>
      </x:c>
      <x:c r="B6" s="345" t="n">
        <x:f>Assumptions!$E$44*Assumptions!$E$6</x:f>
        <x:v>21645.879391714734</x:v>
      </x:c>
      <x:c r="C6" s="345" t="n">
        <x:f>B6</x:f>
        <x:v>21645.879391714734</x:v>
      </x:c>
      <x:c r="D6" s="28" t="str">
        <x:v>NZD/case</x:v>
      </x:c>
      <x:c r="E6" s="28" t="str">
        <x:v>S02;S03</x:v>
      </x:c>
      <x:c r="F6" s="28" t="str">
        <x:v>Medium</x:v>
      </x:c>
      <x:c r="G6" s="28" t="str">
        <x:v>Yes — short-term view</x:v>
      </x:c>
      <x:c r="H6" s="28" t="str">
        <x:v>NZ-specific 1–3 year productivity component.</x:v>
      </x:c>
      <x:c r="I6" s="339"/>
      <x:c r="J6" s="339"/>
      <x:c r="K6" s="339"/>
      <x:c r="L6" s="339"/>
      <x:c r="M6" s="339"/>
      <x:c r="N6" s="339"/>
      <x:c r="O6" s="339"/>
      <x:c r="P6" s="339"/>
      <x:c r="Q6" s="339"/>
      <x:c r="R6" s="339"/>
      <x:c r="S6" s="339"/>
      <x:c r="T6" s="339"/>
      <x:c r="U6" s="1195"/>
      <x:c r="V6" s="1195"/>
      <x:c r="W6" s="1195"/>
      <x:c r="X6" s="1195"/>
      <x:c r="Y6" s="339"/>
      <x:c r="Z6" s="339"/>
    </x:row>
    <x:row r="7">
      <x:c r="A7" s="28" t="str">
        <x:v>Short-term public-finance cost / avoided cost per sustained NEET case</x:v>
      </x:c>
      <x:c r="B7" s="345" t="n">
        <x:f>Assumptions!$E$45*Assumptions!$E$6</x:f>
        <x:v>16055.361300471946</x:v>
      </x:c>
      <x:c r="C7" s="345" t="n">
        <x:f>B7</x:f>
        <x:v>16055.361300471946</x:v>
      </x:c>
      <x:c r="D7" s="28" t="str">
        <x:v>NZD/case</x:v>
      </x:c>
      <x:c r="E7" s="28" t="str">
        <x:v>S02;S03</x:v>
      </x:c>
      <x:c r="F7" s="28" t="str">
        <x:v>Medium</x:v>
      </x:c>
      <x:c r="G7" s="28" t="str">
        <x:v>Yes — fiscal view</x:v>
      </x:c>
      <x:c r="H7" s="28" t="str">
        <x:v>NZ-specific 1–3 year public-finance component.</x:v>
      </x:c>
      <x:c r="I7" s="339"/>
      <x:c r="J7" s="339"/>
      <x:c r="K7" s="339"/>
      <x:c r="L7" s="339"/>
      <x:c r="M7" s="339"/>
      <x:c r="N7" s="339"/>
      <x:c r="O7" s="339"/>
      <x:c r="P7" s="339"/>
      <x:c r="Q7" s="339"/>
      <x:c r="R7" s="339"/>
      <x:c r="S7" s="339"/>
      <x:c r="T7" s="339"/>
      <x:c r="U7" s="1195"/>
      <x:c r="V7" s="1195"/>
      <x:c r="W7" s="1195"/>
      <x:c r="X7" s="1195"/>
      <x:c r="Y7" s="339"/>
      <x:c r="Z7" s="339"/>
    </x:row>
    <x:row r="8">
      <x:c r="A8" s="28" t="str">
        <x:v>Short-term total cost / avoided cost per sustained NEET case</x:v>
      </x:c>
      <x:c r="B8" s="345" t="n">
        <x:f>Assumptions!$E$46*Assumptions!$E$6</x:f>
        <x:v>37701.24069218668</x:v>
      </x:c>
      <x:c r="C8" s="345" t="n">
        <x:f>B8</x:f>
        <x:v>37701.24069218668</x:v>
      </x:c>
      <x:c r="D8" s="28" t="str">
        <x:v>NZD/case</x:v>
      </x:c>
      <x:c r="E8" s="28" t="str">
        <x:v>S02;S03</x:v>
      </x:c>
      <x:c r="F8" s="28" t="str">
        <x:v>Medium</x:v>
      </x:c>
      <x:c r="G8" s="28" t="str">
        <x:v>Yes — short-term view</x:v>
      </x:c>
      <x:c r="H8" s="28" t="str">
        <x:v>Published NZ total: $26,847 in December 2012 dollars.</x:v>
      </x:c>
      <x:c r="I8" s="339"/>
      <x:c r="J8" s="339"/>
      <x:c r="K8" s="339"/>
      <x:c r="L8" s="339"/>
      <x:c r="M8" s="339"/>
      <x:c r="N8" s="339"/>
      <x:c r="O8" s="339"/>
      <x:c r="P8" s="339"/>
      <x:c r="Q8" s="339"/>
      <x:c r="R8" s="339"/>
      <x:c r="S8" s="339"/>
      <x:c r="T8" s="339"/>
      <x:c r="U8" s="1194"/>
      <x:c r="V8" s="1194"/>
      <x:c r="W8" s="1194"/>
      <x:c r="X8" s="1194"/>
      <x:c r="Y8" s="339"/>
      <x:c r="Z8" s="339"/>
    </x:row>
    <x:row r="9">
      <x:c r="A9" s="28" t="str">
        <x:v>Illustrative lifetime productivity value per sustained NEET case</x:v>
      </x:c>
      <x:c r="B9" s="345" t="n">
        <x:f>B6*Assumptions!$E$47</x:f>
        <x:v>207800.44216046145</x:v>
      </x:c>
      <x:c r="C9" s="345" t="n">
        <x:f>B9</x:f>
        <x:v>207800.44216046145</x:v>
      </x:c>
      <x:c r="D9" s="28" t="str">
        <x:v>NZD/case</x:v>
      </x:c>
      <x:c r="E9" s="28" t="str">
        <x:v>S02</x:v>
      </x:c>
      <x:c r="F9" s="28" t="str">
        <x:v>Low</x:v>
      </x:c>
      <x:c r="G9" s="28" t="str">
        <x:v>No by default</x:v>
      </x:c>
      <x:c r="H9" s="28" t="str">
        <x:v>Short-term productivity × 9.6 UK multiplier.</x:v>
      </x:c>
      <x:c r="I9" s="339"/>
      <x:c r="J9" s="339"/>
      <x:c r="K9" s="339"/>
      <x:c r="L9" s="339"/>
      <x:c r="M9" s="339"/>
      <x:c r="N9" s="339"/>
      <x:c r="O9" s="339"/>
      <x:c r="P9" s="339"/>
      <x:c r="Q9" s="339"/>
      <x:c r="R9" s="339"/>
      <x:c r="S9" s="339"/>
      <x:c r="T9" s="339"/>
      <x:c r="U9" s="1194"/>
      <x:c r="V9" s="1194"/>
      <x:c r="W9" s="1194"/>
      <x:c r="X9" s="1194"/>
      <x:c r="Y9" s="339"/>
      <x:c r="Z9" s="339"/>
    </x:row>
    <x:row r="10">
      <x:c r="A10" s="28" t="str">
        <x:v>Illustrative lifetime public-finance value per sustained NEET case</x:v>
      </x:c>
      <x:c r="B10" s="345" t="n">
        <x:f>B7*Assumptions!$E$47</x:f>
        <x:v>154131.4684845307</x:v>
      </x:c>
      <x:c r="C10" s="345" t="n">
        <x:f>B10</x:f>
        <x:v>154131.4684845307</x:v>
      </x:c>
      <x:c r="D10" s="28" t="str">
        <x:v>NZD/case</x:v>
      </x:c>
      <x:c r="E10" s="28" t="str">
        <x:v>S02</x:v>
      </x:c>
      <x:c r="F10" s="28" t="str">
        <x:v>Low</x:v>
      </x:c>
      <x:c r="G10" s="28" t="str">
        <x:v>No by default</x:v>
      </x:c>
      <x:c r="H10" s="28" t="str">
        <x:v>Short-term public finance × 9.6 UK multiplier.</x:v>
      </x:c>
      <x:c r="I10" s="339"/>
      <x:c r="J10" s="339"/>
      <x:c r="K10" s="339"/>
      <x:c r="L10" s="339"/>
      <x:c r="M10" s="339"/>
      <x:c r="N10" s="339"/>
      <x:c r="O10" s="339"/>
      <x:c r="P10" s="339"/>
      <x:c r="Q10" s="339"/>
      <x:c r="R10" s="339"/>
      <x:c r="S10" s="339"/>
      <x:c r="T10" s="339"/>
      <x:c r="U10" s="1194"/>
      <x:c r="V10" s="1194"/>
      <x:c r="W10" s="1194"/>
      <x:c r="X10" s="1194"/>
      <x:c r="Y10" s="339"/>
      <x:c r="Z10" s="339"/>
    </x:row>
    <x:row r="11">
      <x:c r="A11" s="28" t="str">
        <x:v>Illustrative lifetime total value per sustained NEET case</x:v>
      </x:c>
      <x:c r="B11" s="345" t="n">
        <x:f>B8*Assumptions!$E$47</x:f>
        <x:v>361931.9106449921</x:v>
      </x:c>
      <x:c r="C11" s="345" t="n">
        <x:f>B11</x:f>
        <x:v>361931.9106449921</x:v>
      </x:c>
      <x:c r="D11" s="28" t="str">
        <x:v>NZD/case</x:v>
      </x:c>
      <x:c r="E11" s="28" t="str">
        <x:v>S02</x:v>
      </x:c>
      <x:c r="F11" s="28" t="str">
        <x:v>Low</x:v>
      </x:c>
      <x:c r="G11" s="28" t="str">
        <x:v>Scenario only</x:v>
      </x:c>
      <x:c r="H11" s="28" t="str">
        <x:v>Useful for stress-testing only; it is not a NZ lifetime estimate.</x:v>
      </x:c>
      <x:c r="I11" s="339"/>
      <x:c r="J11" s="339"/>
      <x:c r="K11" s="339"/>
      <x:c r="L11" s="339"/>
      <x:c r="M11" s="339"/>
      <x:c r="N11" s="339"/>
      <x:c r="O11" s="339"/>
      <x:c r="P11" s="339"/>
      <x:c r="Q11" s="339"/>
      <x:c r="R11" s="339"/>
      <x:c r="S11" s="339"/>
      <x:c r="T11" s="339"/>
      <x:c r="U11" s="1194"/>
      <x:c r="V11" s="1194"/>
      <x:c r="W11" s="1194"/>
      <x:c r="X11" s="1194"/>
      <x:c r="Y11" s="339"/>
      <x:c r="Z11" s="339"/>
    </x:row>
    <x:row r="12">
      <x:c r="A12" s="28"/>
      <x:c r="B12" s="345"/>
      <x:c r="C12" s="345"/>
      <x:c r="D12" s="28"/>
      <x:c r="E12" s="28"/>
      <x:c r="F12" s="28"/>
      <x:c r="G12" s="28"/>
      <x:c r="H12" s="28"/>
      <x:c r="I12" s="339"/>
      <x:c r="J12" s="339"/>
      <x:c r="K12" s="339"/>
      <x:c r="L12" s="339"/>
      <x:c r="M12" s="339"/>
      <x:c r="N12" s="339"/>
      <x:c r="O12" s="339"/>
      <x:c r="P12" s="339"/>
      <x:c r="Q12" s="339"/>
      <x:c r="R12" s="339"/>
      <x:c r="S12" s="339"/>
      <x:c r="T12" s="339"/>
      <x:c r="U12" s="1194"/>
      <x:c r="V12" s="1194"/>
      <x:c r="W12" s="1194"/>
      <x:c r="X12" s="1194"/>
      <x:c r="Y12" s="339"/>
      <x:c r="Z12" s="339"/>
    </x:row>
    <x:row r="13" ht="21" customHeight="1">
      <x:c r="A13" s="368" t="str">
        <x:v>Cohort alignment and central outcome scenario</x:v>
      </x:c>
      <x:c r="B13" s="468" t="str">
        <x:v>Cohort alignment and central outcome scenario</x:v>
      </x:c>
      <x:c r="C13" s="468" t="str">
        <x:v>Cohort alignment and central outcome scenario</x:v>
      </x:c>
      <x:c r="D13" s="368" t="str">
        <x:v>Cohort alignment and central outcome scenario</x:v>
      </x:c>
      <x:c r="E13" s="368" t="str">
        <x:v>Cohort alignment and central outcome scenario</x:v>
      </x:c>
      <x:c r="F13" s="368" t="str">
        <x:v>Cohort alignment and central outcome scenario</x:v>
      </x:c>
      <x:c r="G13" s="368" t="str">
        <x:v>Cohort alignment and central outcome scenario</x:v>
      </x:c>
      <x:c r="H13" s="368" t="str">
        <x:v>Cohort alignment and central outcome scenario</x:v>
      </x:c>
      <x:c r="I13" s="339"/>
      <x:c r="J13" s="339"/>
      <x:c r="K13" s="339"/>
      <x:c r="L13" s="339"/>
      <x:c r="M13" s="339"/>
      <x:c r="N13" s="339"/>
      <x:c r="O13" s="339"/>
      <x:c r="P13" s="339"/>
      <x:c r="Q13" s="339"/>
      <x:c r="R13" s="339"/>
      <x:c r="S13" s="339"/>
      <x:c r="T13" s="339"/>
      <x:c r="U13" s="1194"/>
      <x:c r="V13" s="1194"/>
      <x:c r="W13" s="1194"/>
      <x:c r="X13" s="1194"/>
      <x:c r="Y13" s="339"/>
      <x:c r="Z13" s="339"/>
    </x:row>
    <x:row r="14">
      <x:c r="A14" s="28" t="str">
        <x:v>Unique people exposed to programme</x:v>
      </x:c>
      <x:c r="B14" s="348" t="n">
        <x:f>Assumptions!$E$17</x:f>
        <x:v>4200</x:v>
      </x:c>
      <x:c r="C14" s="348" t="n">
        <x:f>Assumptions!$E$32/Assumptions!$E$33</x:f>
        <x:v>62348.6</x:v>
      </x:c>
      <x:c r="D14" s="28" t="str">
        <x:v>people</x:v>
      </x:c>
      <x:c r="E14" s="28" t="str">
        <x:v>S01;S08</x:v>
      </x:c>
      <x:c r="F14" s="28" t="str">
        <x:v>Medium</x:v>
      </x:c>
      <x:c r="G14" s="28" t="str">
        <x:v>Yes</x:v>
      </x:c>
      <x:c r="H14" s="28" t="str">
        <x:v>National benefits use the annual entrant/exit cohort, not the five-year student stock.</x:v>
      </x:c>
      <x:c r="I14" s="339"/>
      <x:c r="J14" s="339"/>
      <x:c r="K14" s="339"/>
      <x:c r="L14" s="339"/>
      <x:c r="M14" s="339"/>
      <x:c r="N14" s="339"/>
      <x:c r="O14" s="339"/>
      <x:c r="P14" s="339"/>
      <x:c r="Q14" s="339"/>
      <x:c r="R14" s="339"/>
      <x:c r="S14" s="339"/>
      <x:c r="T14" s="339"/>
      <x:c r="U14" s="1194"/>
      <x:c r="V14" s="1194"/>
      <x:c r="W14" s="1194"/>
      <x:c r="X14" s="1194"/>
      <x:c r="Y14" s="339"/>
      <x:c r="Z14" s="339"/>
    </x:row>
    <x:row r="15">
      <x:c r="A15" s="28" t="str">
        <x:v>Baseline sustained-NEET risk</x:v>
      </x:c>
      <x:c r="B15" s="347" t="n">
        <x:f>Assumptions!$E$29</x:f>
        <x:v>0.25</x:v>
      </x:c>
      <x:c r="C15" s="347" t="n">
        <x:f>Assumptions!$E$40</x:f>
        <x:v>0.15</x:v>
      </x:c>
      <x:c r="D15" s="28" t="str">
        <x:v>%</x:v>
      </x:c>
      <x:c r="E15" s="28" t="str">
        <x:v>S02</x:v>
      </x:c>
      <x:c r="F15" s="28" t="str">
        <x:v>Low</x:v>
      </x:c>
      <x:c r="G15" s="28" t="str">
        <x:v>Yes</x:v>
      </x:c>
      <x:c r="H15" s="28" t="str">
        <x:v>Not the point-in-time national NEET rate.</x:v>
      </x:c>
      <x:c r="I15" s="339"/>
      <x:c r="J15" s="339"/>
      <x:c r="K15" s="339"/>
      <x:c r="L15" s="339"/>
      <x:c r="M15" s="339"/>
      <x:c r="N15" s="339"/>
      <x:c r="O15" s="339"/>
      <x:c r="P15" s="339"/>
      <x:c r="Q15" s="339"/>
      <x:c r="R15" s="339"/>
      <x:c r="S15" s="339"/>
      <x:c r="T15" s="339"/>
      <x:c r="U15" s="1194"/>
      <x:c r="V15" s="1194"/>
      <x:c r="W15" s="1194"/>
      <x:c r="X15" s="1194"/>
      <x:c r="Y15" s="339"/>
      <x:c r="Z15" s="339"/>
    </x:row>
    <x:row r="16">
      <x:c r="A16" s="28" t="str">
        <x:v>Relative reduction in sustained-NEET risk</x:v>
      </x:c>
      <x:c r="B16" s="347" t="n">
        <x:f>Assumptions!$E$30</x:f>
        <x:v>0.25</x:v>
      </x:c>
      <x:c r="C16" s="347" t="n">
        <x:f>Assumptions!$E$41</x:f>
        <x:v>0.25</x:v>
      </x:c>
      <x:c r="D16" s="28" t="str">
        <x:v>%</x:v>
      </x:c>
      <x:c r="E16" s="28" t="str">
        <x:v>Scenario</x:v>
      </x:c>
      <x:c r="F16" s="28" t="str">
        <x:v>Low</x:v>
      </x:c>
      <x:c r="G16" s="28" t="str">
        <x:v>Yes</x:v>
      </x:c>
      <x:c r="H16" s="28" t="str">
        <x:v>25% relative reduction means 15.0% becomes 11.25%.</x:v>
      </x:c>
      <x:c r="I16" s="339"/>
      <x:c r="J16" s="339"/>
      <x:c r="K16" s="339"/>
      <x:c r="L16" s="339"/>
      <x:c r="M16" s="339"/>
      <x:c r="N16" s="339"/>
      <x:c r="O16" s="339"/>
      <x:c r="P16" s="339"/>
      <x:c r="Q16" s="339"/>
      <x:c r="R16" s="339"/>
      <x:c r="S16" s="339"/>
      <x:c r="T16" s="339"/>
      <x:c r="U16" s="1194"/>
      <x:c r="V16" s="1194"/>
      <x:c r="W16" s="1194"/>
      <x:c r="X16" s="1194"/>
      <x:c r="Y16" s="339"/>
      <x:c r="Z16" s="339"/>
    </x:row>
    <x:row r="17">
      <x:c r="A17" s="28" t="str">
        <x:v>Persistence / attribution factor</x:v>
      </x:c>
      <x:c r="B17" s="347" t="n">
        <x:f>Assumptions!$E$31</x:f>
        <x:v>0.6</x:v>
      </x:c>
      <x:c r="C17" s="347" t="n">
        <x:f>Assumptions!$E$42</x:f>
        <x:v>0.6</x:v>
      </x:c>
      <x:c r="D17" s="28" t="str">
        <x:v>%</x:v>
      </x:c>
      <x:c r="E17" s="28" t="str">
        <x:v>S04;S05</x:v>
      </x:c>
      <x:c r="F17" s="28" t="str">
        <x:v>Low</x:v>
      </x:c>
      <x:c r="G17" s="28" t="str">
        <x:v>Yes</x:v>
      </x:c>
      <x:c r="H17" s="28" t="str">
        <x:v>Haircut for fade-out and causal uncertainty.</x:v>
      </x:c>
      <x:c r="I17" s="339"/>
      <x:c r="J17" s="339"/>
      <x:c r="K17" s="339"/>
      <x:c r="L17" s="339"/>
      <x:c r="M17" s="339"/>
      <x:c r="N17" s="339"/>
      <x:c r="O17" s="339"/>
      <x:c r="P17" s="339"/>
      <x:c r="Q17" s="339"/>
      <x:c r="R17" s="339"/>
      <x:c r="S17" s="339"/>
      <x:c r="T17" s="339"/>
      <x:c r="U17" s="1194"/>
      <x:c r="V17" s="1194"/>
      <x:c r="W17" s="1194"/>
      <x:c r="X17" s="1194"/>
      <x:c r="Y17" s="339"/>
      <x:c r="Z17" s="339"/>
    </x:row>
    <x:row r="18">
      <x:c r="A18" s="28" t="str">
        <x:v>Averted sustained NEET cases</x:v>
      </x:c>
      <x:c r="B18" s="348" t="n">
        <x:f>B14*B15*B16*B17</x:f>
        <x:v>157.5</x:v>
      </x:c>
      <x:c r="C18" s="348" t="n">
        <x:f>C14*C15*C16*C17</x:f>
        <x:v>1402.8434999999997</x:v>
      </x:c>
      <x:c r="D18" s="28" t="str">
        <x:v>cases</x:v>
      </x:c>
      <x:c r="E18" s="28" t="str">
        <x:v>Calculated</x:v>
      </x:c>
      <x:c r="F18" s="28" t="str">
        <x:v>Scenario output</x:v>
      </x:c>
      <x:c r="G18" s="28" t="str">
        <x:v>Yes</x:v>
      </x:c>
      <x:c r="H18" s="28" t="str">
        <x:v>Expected cases, not identifiable individuals.</x:v>
      </x:c>
      <x:c r="I18" s="339"/>
      <x:c r="J18" s="339"/>
      <x:c r="K18" s="339"/>
      <x:c r="L18" s="339"/>
      <x:c r="M18" s="339"/>
      <x:c r="N18" s="339"/>
      <x:c r="O18" s="339"/>
      <x:c r="P18" s="339"/>
      <x:c r="Q18" s="339"/>
      <x:c r="R18" s="339"/>
      <x:c r="S18" s="339"/>
      <x:c r="T18" s="339"/>
      <x:c r="U18" s="1194"/>
      <x:c r="V18" s="1194"/>
      <x:c r="W18" s="1194"/>
      <x:c r="X18" s="1194"/>
      <x:c r="Y18" s="339"/>
      <x:c r="Z18" s="339"/>
    </x:row>
    <x:row r="19">
      <x:c r="A19" s="28" t="str">
        <x:v>Benefit realisation / overlap haircut</x:v>
      </x:c>
      <x:c r="B19" s="347" t="n">
        <x:f>Assumptions!$E$43</x:f>
        <x:v>0.75</x:v>
      </x:c>
      <x:c r="C19" s="347" t="n">
        <x:f>Assumptions!$E$43</x:f>
        <x:v>0.75</x:v>
      </x:c>
      <x:c r="D19" s="28" t="str">
        <x:v>%</x:v>
      </x:c>
      <x:c r="E19" s="28" t="str">
        <x:v>S04;S05</x:v>
      </x:c>
      <x:c r="F19" s="28" t="str">
        <x:v>Low</x:v>
      </x:c>
      <x:c r="G19" s="28" t="str">
        <x:v>Yes</x:v>
      </x:c>
      <x:c r="H19" s="28" t="str">
        <x:v>Additional prudence for benefit valuation.</x:v>
      </x:c>
      <x:c r="I19" s="339"/>
      <x:c r="J19" s="339"/>
      <x:c r="K19" s="339"/>
      <x:c r="L19" s="339"/>
      <x:c r="M19" s="339"/>
      <x:c r="N19" s="339"/>
      <x:c r="O19" s="339"/>
      <x:c r="P19" s="339"/>
      <x:c r="Q19" s="339"/>
      <x:c r="R19" s="339"/>
      <x:c r="S19" s="339"/>
      <x:c r="T19" s="339"/>
      <x:c r="U19" s="1194"/>
      <x:c r="V19" s="1194"/>
      <x:c r="W19" s="1194"/>
      <x:c r="X19" s="1194"/>
      <x:c r="Y19" s="339"/>
      <x:c r="Z19" s="339"/>
    </x:row>
    <x:row r="20">
      <x:c r="A20" s="28"/>
      <x:c r="B20" s="345"/>
      <x:c r="C20" s="345"/>
      <x:c r="D20" s="28"/>
      <x:c r="E20" s="28"/>
      <x:c r="F20" s="28"/>
      <x:c r="G20" s="28"/>
      <x:c r="H20" s="28"/>
      <x:c r="I20" s="339"/>
      <x:c r="J20" s="339"/>
      <x:c r="K20" s="339"/>
      <x:c r="L20" s="339"/>
      <x:c r="M20" s="339"/>
      <x:c r="N20" s="339"/>
      <x:c r="O20" s="339"/>
      <x:c r="P20" s="339"/>
      <x:c r="Q20" s="339"/>
      <x:c r="R20" s="339"/>
      <x:c r="S20" s="339"/>
      <x:c r="T20" s="339"/>
      <x:c r="U20" s="1194"/>
      <x:c r="V20" s="1194"/>
      <x:c r="W20" s="1194"/>
      <x:c r="X20" s="1194"/>
      <x:c r="Y20" s="339"/>
      <x:c r="Z20" s="339"/>
    </x:row>
    <x:row r="21" ht="21" customHeight="1">
      <x:c r="A21" s="368" t="str">
        <x:v>Central cost-benefit outputs</x:v>
      </x:c>
      <x:c r="B21" s="468" t="str">
        <x:v>Central cost-benefit outputs</x:v>
      </x:c>
      <x:c r="C21" s="468" t="str">
        <x:v>Central cost-benefit outputs</x:v>
      </x:c>
      <x:c r="D21" s="368" t="str">
        <x:v>Central cost-benefit outputs</x:v>
      </x:c>
      <x:c r="E21" s="368" t="str">
        <x:v>Central cost-benefit outputs</x:v>
      </x:c>
      <x:c r="F21" s="368" t="str">
        <x:v>Central cost-benefit outputs</x:v>
      </x:c>
      <x:c r="G21" s="368" t="str">
        <x:v>Central cost-benefit outputs</x:v>
      </x:c>
      <x:c r="H21" s="368" t="str">
        <x:v>Central cost-benefit outputs</x:v>
      </x:c>
      <x:c r="I21" s="339"/>
      <x:c r="J21" s="339"/>
      <x:c r="K21" s="339"/>
      <x:c r="L21" s="339"/>
      <x:c r="M21" s="339"/>
      <x:c r="N21" s="339"/>
      <x:c r="O21" s="339"/>
      <x:c r="P21" s="339"/>
      <x:c r="Q21" s="339"/>
      <x:c r="R21" s="339"/>
      <x:c r="S21" s="339"/>
      <x:c r="T21" s="339"/>
      <x:c r="U21" s="1194"/>
      <x:c r="V21" s="1194"/>
      <x:c r="W21" s="1194"/>
      <x:c r="X21" s="1194"/>
      <x:c r="Y21" s="339"/>
      <x:c r="Z21" s="339"/>
    </x:row>
    <x:row r="22">
      <x:c r="A22" s="28" t="str">
        <x:v>Short-term societal benefit</x:v>
      </x:c>
      <x:c r="B22" s="345" t="n">
        <x:f>B18*$B$8*B19</x:f>
        <x:v>4453459.056764551</x:v>
      </x:c>
      <x:c r="C22" s="345" t="n">
        <x:f>C18*$B$8*C19</x:f>
        <x:v>39666705.33522718</x:v>
      </x:c>
      <x:c r="D22" s="28" t="str">
        <x:v>NZD PV</x:v>
      </x:c>
      <x:c r="E22" s="28" t="str">
        <x:v>S02</x:v>
      </x:c>
      <x:c r="F22" s="28" t="str">
        <x:v>Medium</x:v>
      </x:c>
      <x:c r="G22" s="28" t="str">
        <x:v>Yes</x:v>
      </x:c>
      <x:c r="H22" s="28" t="str">
        <x:v>Uses only Pacheco &amp; Dye's NZ 1–3 year total.</x:v>
      </x:c>
      <x:c r="I22" s="339"/>
      <x:c r="J22" s="339"/>
      <x:c r="K22" s="339"/>
      <x:c r="L22" s="339"/>
      <x:c r="M22" s="339"/>
      <x:c r="N22" s="339"/>
      <x:c r="O22" s="339"/>
      <x:c r="P22" s="339"/>
      <x:c r="Q22" s="339"/>
      <x:c r="R22" s="339"/>
      <x:c r="S22" s="339"/>
      <x:c r="T22" s="339"/>
      <x:c r="U22" s="1194"/>
      <x:c r="V22" s="1194"/>
      <x:c r="W22" s="1194"/>
      <x:c r="X22" s="1194"/>
      <x:c r="Y22" s="339"/>
      <x:c r="Z22" s="339"/>
    </x:row>
    <x:row r="23">
      <x:c r="A23" s="28" t="str">
        <x:v>Short-term fiscal benefit</x:v>
      </x:c>
      <x:c r="B23" s="345" t="n">
        <x:f>B18*$B$7*B19</x:f>
        <x:v>1896539.5536182486</x:v>
      </x:c>
      <x:c r="C23" s="345" t="n">
        <x:f>C18*$B$7*C19</x:f>
        <x:v>16892369.430388957</x:v>
      </x:c>
      <x:c r="D23" s="28" t="str">
        <x:v>NZD PV</x:v>
      </x:c>
      <x:c r="E23" s="28" t="str">
        <x:v>S02</x:v>
      </x:c>
      <x:c r="F23" s="28" t="str">
        <x:v>Medium</x:v>
      </x:c>
      <x:c r="G23" s="28" t="str">
        <x:v>Yes</x:v>
      </x:c>
      <x:c r="H23" s="28" t="str">
        <x:v>Narrow public-finance component.</x:v>
      </x:c>
      <x:c r="I23" s="339"/>
      <x:c r="J23" s="339"/>
      <x:c r="K23" s="339"/>
      <x:c r="L23" s="339"/>
      <x:c r="M23" s="339"/>
      <x:c r="N23" s="339"/>
      <x:c r="O23" s="339"/>
      <x:c r="P23" s="339"/>
      <x:c r="Q23" s="339"/>
      <x:c r="R23" s="339"/>
      <x:c r="S23" s="339"/>
      <x:c r="T23" s="339"/>
      <x:c r="U23" s="1194"/>
      <x:c r="V23" s="1194"/>
      <x:c r="W23" s="1194"/>
      <x:c r="X23" s="1194"/>
      <x:c r="Y23" s="339"/>
      <x:c r="Z23" s="339"/>
    </x:row>
    <x:row r="24">
      <x:c r="A24" s="28" t="str">
        <x:v>Illustrative lifetime societal benefit</x:v>
      </x:c>
      <x:c r="B24" s="345" t="n">
        <x:f>B18*$B$11*B19</x:f>
        <x:v>42753206.94493969</x:v>
      </x:c>
      <x:c r="C24" s="345" t="n">
        <x:f>C18*$B$11*C19</x:f>
        <x:v>380800371.2181809</x:v>
      </x:c>
      <x:c r="D24" s="28" t="str">
        <x:v>NZD PV</x:v>
      </x:c>
      <x:c r="E24" s="28" t="str">
        <x:v>S02</x:v>
      </x:c>
      <x:c r="F24" s="28" t="str">
        <x:v>Low</x:v>
      </x:c>
      <x:c r="G24" s="28" t="str">
        <x:v>Scenario only</x:v>
      </x:c>
      <x:c r="H24" s="28" t="str">
        <x:v>Uses UK-derived multiplier.</x:v>
      </x:c>
      <x:c r="I24" s="339"/>
      <x:c r="J24" s="339"/>
      <x:c r="K24" s="339"/>
      <x:c r="L24" s="339"/>
      <x:c r="M24" s="339"/>
      <x:c r="N24" s="339"/>
      <x:c r="O24" s="339"/>
      <x:c r="P24" s="339"/>
      <x:c r="Q24" s="339"/>
      <x:c r="R24" s="339"/>
      <x:c r="S24" s="339"/>
      <x:c r="T24" s="339"/>
      <x:c r="U24" s="1194"/>
      <x:c r="V24" s="1194"/>
      <x:c r="W24" s="1194"/>
      <x:c r="X24" s="1194"/>
      <x:c r="Y24" s="339"/>
      <x:c r="Z24" s="339"/>
    </x:row>
    <x:row r="25">
      <x:c r="A25" s="28" t="str">
        <x:v>Illustrative lifetime fiscal benefit</x:v>
      </x:c>
      <x:c r="B25" s="345" t="n">
        <x:f>B18*$B$10*B19</x:f>
        <x:v>18206779.714735188</x:v>
      </x:c>
      <x:c r="C25" s="345" t="n">
        <x:f>C18*$B$10*C19</x:f>
        <x:v>162166746.53173402</x:v>
      </x:c>
      <x:c r="D25" s="28" t="str">
        <x:v>NZD PV</x:v>
      </x:c>
      <x:c r="E25" s="28" t="str">
        <x:v>S02</x:v>
      </x:c>
      <x:c r="F25" s="28" t="str">
        <x:v>Low</x:v>
      </x:c>
      <x:c r="G25" s="28" t="str">
        <x:v>Scenario only</x:v>
      </x:c>
      <x:c r="H25" s="28" t="str">
        <x:v>Uses UK-derived multiplier.</x:v>
      </x:c>
      <x:c r="I25" s="339"/>
      <x:c r="J25" s="339"/>
      <x:c r="K25" s="339"/>
      <x:c r="L25" s="339"/>
      <x:c r="M25" s="339"/>
      <x:c r="N25" s="339"/>
      <x:c r="O25" s="339"/>
      <x:c r="P25" s="339"/>
      <x:c r="Q25" s="339"/>
      <x:c r="R25" s="339"/>
      <x:c r="S25" s="339"/>
      <x:c r="T25" s="339"/>
      <x:c r="U25" s="1194"/>
      <x:c r="V25" s="1194"/>
      <x:c r="W25" s="1194"/>
      <x:c r="X25" s="1194"/>
      <x:c r="Y25" s="339"/>
      <x:c r="Z25" s="339"/>
    </x:row>
    <x:row r="26">
      <x:c r="A26" s="28" t="str">
        <x:v>Programme cost comparator</x:v>
      </x:c>
      <x:c r="B26" s="345" t="n">
        <x:f>'Stage 1 - Pilot'!$E$6</x:f>
        <x:v>97579970.263125</x:v>
      </x:c>
      <x:c r="C26" s="345" t="n">
        <x:f>'Stage 2 - National'!$H$6</x:f>
        <x:v>1526137729.0833335</x:v>
      </x:c>
      <x:c r="D26" s="28" t="str">
        <x:v>NZD</x:v>
      </x:c>
      <x:c r="E26" s="28" t="str">
        <x:v>Model</x:v>
      </x:c>
      <x:c r="F26" s="28" t="str">
        <x:v>Planning estimate</x:v>
      </x:c>
      <x:c r="G26" s="28" t="str">
        <x:v>Yes</x:v>
      </x:c>
      <x:c r="H26" s="28" t="str">
        <x:v>Pilot uses three-year total; national uses one mature annual cost, equivalent to one entrant cohort's five programme-years at steady state.</x:v>
      </x:c>
      <x:c r="I26" s="339"/>
      <x:c r="J26" s="339"/>
      <x:c r="K26" s="339"/>
      <x:c r="L26" s="339"/>
      <x:c r="M26" s="339"/>
      <x:c r="N26" s="339"/>
      <x:c r="O26" s="339"/>
      <x:c r="P26" s="339"/>
      <x:c r="Q26" s="339"/>
      <x:c r="R26" s="339"/>
      <x:c r="S26" s="339"/>
      <x:c r="T26" s="339"/>
      <x:c r="U26" s="1194"/>
      <x:c r="V26" s="1194"/>
      <x:c r="W26" s="1194"/>
      <x:c r="X26" s="1194"/>
      <x:c r="Y26" s="339"/>
      <x:c r="Z26" s="339"/>
    </x:row>
    <x:row r="27">
      <x:c r="A27" s="28" t="str">
        <x:v>Short-term societal BCR</x:v>
      </x:c>
      <x:c r="B27" s="478" t="n">
        <x:f>B22/B26</x:f>
        <x:v>0.04563906962418385</x:v>
      </x:c>
      <x:c r="C27" s="478" t="n">
        <x:f>C22/C26</x:f>
        <x:v>0.025991563264118223</x:v>
      </x:c>
      <x:c r="D27" s="28" t="str">
        <x:v>x</x:v>
      </x:c>
      <x:c r="E27" s="28" t="str">
        <x:v>Calculated</x:v>
      </x:c>
      <x:c r="F27" s="28" t="str">
        <x:v>Medium</x:v>
      </x:c>
      <x:c r="G27" s="28" t="str">
        <x:v>Yes</x:v>
      </x:c>
      <x:c r="H27" s="28" t="str">
        <x:v>Benefits divided by aligned cost.</x:v>
      </x:c>
      <x:c r="I27" s="339"/>
      <x:c r="J27" s="339"/>
      <x:c r="K27" s="339"/>
      <x:c r="L27" s="339"/>
      <x:c r="M27" s="339"/>
      <x:c r="N27" s="339"/>
      <x:c r="O27" s="339"/>
      <x:c r="P27" s="339"/>
      <x:c r="Q27" s="339"/>
      <x:c r="R27" s="339"/>
      <x:c r="S27" s="339"/>
      <x:c r="T27" s="339"/>
      <x:c r="U27" s="1194"/>
      <x:c r="V27" s="1194"/>
      <x:c r="W27" s="1194"/>
      <x:c r="X27" s="1194"/>
      <x:c r="Y27" s="339"/>
      <x:c r="Z27" s="339"/>
    </x:row>
    <x:row r="28">
      <x:c r="A28" s="28" t="str">
        <x:v>Short-term fiscal coverage</x:v>
      </x:c>
      <x:c r="B28" s="478" t="n">
        <x:f>B23/B26</x:f>
        <x:v>0.01943574637811651</x:v>
      </x:c>
      <x:c r="C28" s="478" t="n">
        <x:f>C23/C26</x:f>
        <x:v>0.011068705732434299</x:v>
      </x:c>
      <x:c r="D28" s="28" t="str">
        <x:v>x</x:v>
      </x:c>
      <x:c r="E28" s="28" t="str">
        <x:v>Calculated</x:v>
      </x:c>
      <x:c r="F28" s="28" t="str">
        <x:v>Medium</x:v>
      </x:c>
      <x:c r="G28" s="28" t="str">
        <x:v>Yes</x:v>
      </x:c>
      <x:c r="H28" s="28" t="str">
        <x:v>Narrow fiscal savings divided by cost.</x:v>
      </x:c>
      <x:c r="I28" s="339"/>
      <x:c r="J28" s="339"/>
      <x:c r="K28" s="339"/>
      <x:c r="L28" s="339"/>
      <x:c r="M28" s="339"/>
      <x:c r="N28" s="339"/>
      <x:c r="O28" s="339"/>
      <x:c r="P28" s="339"/>
      <x:c r="Q28" s="339"/>
      <x:c r="R28" s="339"/>
      <x:c r="S28" s="339"/>
      <x:c r="T28" s="339"/>
      <x:c r="U28" s="1194"/>
      <x:c r="V28" s="1194"/>
      <x:c r="W28" s="1194"/>
      <x:c r="X28" s="1194"/>
      <x:c r="Y28" s="339"/>
      <x:c r="Z28" s="339"/>
    </x:row>
    <x:row r="29">
      <x:c r="A29" s="28" t="str">
        <x:v>Illustrative lifetime societal BCR</x:v>
      </x:c>
      <x:c r="B29" s="478" t="n">
        <x:f>B24/B26</x:f>
        <x:v>0.4381350683921649</x:v>
      </x:c>
      <x:c r="C29" s="478" t="n">
        <x:f>C24/C26</x:f>
        <x:v>0.24951900733553492</x:v>
      </x:c>
      <x:c r="D29" s="28" t="str">
        <x:v>x</x:v>
      </x:c>
      <x:c r="E29" s="28" t="str">
        <x:v>Calculated</x:v>
      </x:c>
      <x:c r="F29" s="28" t="str">
        <x:v>Low</x:v>
      </x:c>
      <x:c r="G29" s="28" t="str">
        <x:v>Scenario only</x:v>
      </x:c>
      <x:c r="H29" s="28" t="str">
        <x:v>Do not present as a forecast.</x:v>
      </x:c>
      <x:c r="I29" s="339"/>
      <x:c r="J29" s="339"/>
      <x:c r="K29" s="339"/>
      <x:c r="L29" s="339"/>
      <x:c r="M29" s="339"/>
      <x:c r="N29" s="339"/>
      <x:c r="O29" s="339"/>
      <x:c r="P29" s="339"/>
      <x:c r="Q29" s="339"/>
      <x:c r="R29" s="339"/>
      <x:c r="S29" s="339"/>
      <x:c r="T29" s="339"/>
      <x:c r="U29" s="1194"/>
      <x:c r="V29" s="1194"/>
      <x:c r="W29" s="1194"/>
      <x:c r="X29" s="1194"/>
      <x:c r="Y29" s="339"/>
      <x:c r="Z29" s="339"/>
    </x:row>
    <x:row r="30">
      <x:c r="A30" s="28" t="str">
        <x:v>Illustrative lifetime fiscal coverage</x:v>
      </x:c>
      <x:c r="B30" s="478" t="n">
        <x:f>B25/B26</x:f>
        <x:v>0.18658316522991852</x:v>
      </x:c>
      <x:c r="C30" s="478" t="n">
        <x:f>C25/C26</x:f>
        <x:v>0.10625957503136929</x:v>
      </x:c>
      <x:c r="D30" s="28" t="str">
        <x:v>x</x:v>
      </x:c>
      <x:c r="E30" s="28" t="str">
        <x:v>Calculated</x:v>
      </x:c>
      <x:c r="F30" s="28" t="str">
        <x:v>Low</x:v>
      </x:c>
      <x:c r="G30" s="28" t="str">
        <x:v>Scenario only</x:v>
      </x:c>
      <x:c r="H30" s="28" t="str">
        <x:v>Do not present as guaranteed Crown savings.</x:v>
      </x:c>
      <x:c r="I30" s="339"/>
      <x:c r="J30" s="339"/>
      <x:c r="K30" s="339"/>
      <x:c r="L30" s="339"/>
      <x:c r="M30" s="339"/>
      <x:c r="N30" s="339"/>
      <x:c r="O30" s="339"/>
      <x:c r="P30" s="339"/>
      <x:c r="Q30" s="339"/>
      <x:c r="R30" s="339"/>
      <x:c r="S30" s="339"/>
      <x:c r="T30" s="339"/>
      <x:c r="U30" s="1194"/>
      <x:c r="V30" s="1194"/>
      <x:c r="W30" s="1194"/>
      <x:c r="X30" s="1194"/>
      <x:c r="Y30" s="339"/>
      <x:c r="Z30" s="339"/>
    </x:row>
    <x:row r="31">
      <x:c r="A31" s="28"/>
      <x:c r="B31" s="470"/>
      <x:c r="C31" s="470"/>
      <x:c r="D31" s="28"/>
      <x:c r="E31" s="28"/>
      <x:c r="F31" s="28"/>
      <x:c r="G31" s="28"/>
      <x:c r="H31" s="28"/>
      <x:c r="I31" s="339"/>
      <x:c r="J31" s="339"/>
      <x:c r="K31" s="339"/>
      <x:c r="L31" s="339"/>
      <x:c r="M31" s="339"/>
      <x:c r="N31" s="339"/>
      <x:c r="O31" s="339"/>
      <x:c r="P31" s="339"/>
      <x:c r="Q31" s="339"/>
      <x:c r="R31" s="339"/>
      <x:c r="S31" s="339"/>
      <x:c r="T31" s="339"/>
      <x:c r="U31" s="1194"/>
      <x:c r="V31" s="1194"/>
      <x:c r="W31" s="1194"/>
      <x:c r="X31" s="1194"/>
      <x:c r="Y31" s="339"/>
      <x:c r="Z31" s="339"/>
    </x:row>
    <x:row r="32" ht="21" customHeight="1">
      <x:c r="A32" s="368" t="str">
        <x:v>The 25% claim — tested, not repeated</x:v>
      </x:c>
      <x:c r="B32" s="471" t="str">
        <x:v>The 25% claim — tested, not repeated</x:v>
      </x:c>
      <x:c r="C32" s="471" t="str">
        <x:v>The 25% claim — tested, not repeated</x:v>
      </x:c>
      <x:c r="D32" s="368" t="str">
        <x:v>The 25% claim — tested, not repeated</x:v>
      </x:c>
      <x:c r="E32" s="368" t="str">
        <x:v>The 25% claim — tested, not repeated</x:v>
      </x:c>
      <x:c r="F32" s="368" t="str">
        <x:v>The 25% claim — tested, not repeated</x:v>
      </x:c>
      <x:c r="G32" s="368" t="str">
        <x:v>The 25% claim — tested, not repeated</x:v>
      </x:c>
      <x:c r="H32" s="368" t="str">
        <x:v>The 25% claim — tested, not repeated</x:v>
      </x:c>
      <x:c r="I32" s="339"/>
      <x:c r="J32" s="339"/>
      <x:c r="K32" s="339"/>
      <x:c r="L32" s="339"/>
      <x:c r="M32" s="339"/>
      <x:c r="N32" s="339"/>
      <x:c r="O32" s="339"/>
      <x:c r="P32" s="339"/>
      <x:c r="Q32" s="339"/>
      <x:c r="R32" s="339"/>
      <x:c r="S32" s="339"/>
      <x:c r="T32" s="339"/>
      <x:c r="U32" s="1194"/>
      <x:c r="V32" s="1194"/>
      <x:c r="W32" s="1194"/>
      <x:c r="X32" s="1194"/>
      <x:c r="Y32" s="339"/>
      <x:c r="Z32" s="339"/>
    </x:row>
    <x:row r="33">
      <x:c r="A33" s="28" t="str">
        <x:v>Central national annual entrant/exit cohort</x:v>
      </x:c>
      <x:c r="B33" s="470" t="str"/>
      <x:c r="C33" s="348" t="n">
        <x:f>C14</x:f>
        <x:v>62348.6</x:v>
      </x:c>
      <x:c r="D33" s="28" t="str">
        <x:v>people</x:v>
      </x:c>
      <x:c r="E33" s="28" t="str">
        <x:v>S08</x:v>
      </x:c>
      <x:c r="F33" s="28" t="str">
        <x:v>Medium</x:v>
      </x:c>
      <x:c r="G33" s="28" t="str">
        <x:v>Yes</x:v>
      </x:c>
      <x:c r="H33" s="28" t="str">
        <x:v>About one-fifth of the eligible student stock under a five-year programme.</x:v>
      </x:c>
      <x:c r="I33" s="339"/>
      <x:c r="J33" s="339"/>
      <x:c r="K33" s="339"/>
      <x:c r="L33" s="339"/>
      <x:c r="M33" s="339"/>
      <x:c r="N33" s="339"/>
      <x:c r="O33" s="339"/>
      <x:c r="P33" s="339"/>
      <x:c r="Q33" s="339"/>
      <x:c r="R33" s="339"/>
      <x:c r="S33" s="339"/>
      <x:c r="T33" s="339"/>
      <x:c r="U33" s="1194"/>
      <x:c r="V33" s="1194"/>
      <x:c r="W33" s="1194"/>
      <x:c r="X33" s="1194"/>
      <x:c r="Y33" s="339"/>
      <x:c r="Z33" s="339"/>
    </x:row>
    <x:row r="34">
      <x:c r="A34" s="28" t="str">
        <x:v>Averted sustained cases at 25% relative reduction</x:v>
      </x:c>
      <x:c r="B34" s="470" t="str"/>
      <x:c r="C34" s="348" t="n">
        <x:f>C18</x:f>
        <x:v>1402.8434999999997</x:v>
      </x:c>
      <x:c r="D34" s="28" t="str">
        <x:v>cases</x:v>
      </x:c>
      <x:c r="E34" s="28" t="str">
        <x:v>Calculated</x:v>
      </x:c>
      <x:c r="F34" s="28" t="str">
        <x:v>Low</x:v>
      </x:c>
      <x:c r="G34" s="28" t="str">
        <x:v>Yes</x:v>
      </x:c>
      <x:c r="H34" s="28" t="str">
        <x:v>Includes baseline risk and persistence/attribution haircut.</x:v>
      </x:c>
      <x:c r="I34" s="339"/>
      <x:c r="J34" s="339"/>
      <x:c r="K34" s="339"/>
      <x:c r="L34" s="339"/>
      <x:c r="M34" s="339"/>
      <x:c r="N34" s="339"/>
      <x:c r="O34" s="339"/>
      <x:c r="P34" s="339"/>
      <x:c r="Q34" s="339"/>
      <x:c r="R34" s="339"/>
      <x:c r="S34" s="339"/>
      <x:c r="T34" s="339"/>
      <x:c r="U34" s="1194"/>
      <x:c r="V34" s="1194"/>
      <x:c r="W34" s="1194"/>
      <x:c r="X34" s="1194"/>
      <x:c r="Y34" s="339"/>
      <x:c r="Z34" s="339"/>
    </x:row>
    <x:row r="35">
      <x:c r="A35" s="28" t="str">
        <x:v>Illustrative lifetime societal benefit</x:v>
      </x:c>
      <x:c r="B35" s="470" t="str"/>
      <x:c r="C35" s="345" t="n">
        <x:f>C24</x:f>
        <x:v>380800371.2181809</x:v>
      </x:c>
      <x:c r="D35" s="28" t="str">
        <x:v>NZD PV</x:v>
      </x:c>
      <x:c r="E35" s="28" t="str">
        <x:v>S02</x:v>
      </x:c>
      <x:c r="F35" s="28" t="str">
        <x:v>Low</x:v>
      </x:c>
      <x:c r="G35" s="28" t="str">
        <x:v>Scenario only</x:v>
      </x:c>
      <x:c r="H35" s="28" t="str">
        <x:v>Less than the mature annual programme cost in the central case.</x:v>
      </x:c>
      <x:c r="I35" s="339"/>
      <x:c r="J35" s="339"/>
      <x:c r="K35" s="339"/>
      <x:c r="L35" s="339"/>
      <x:c r="M35" s="339"/>
      <x:c r="N35" s="339"/>
      <x:c r="O35" s="339"/>
      <x:c r="P35" s="339"/>
      <x:c r="Q35" s="339"/>
      <x:c r="R35" s="339"/>
      <x:c r="S35" s="339"/>
      <x:c r="T35" s="339"/>
      <x:c r="U35" s="1194"/>
      <x:c r="V35" s="1194"/>
      <x:c r="W35" s="1194"/>
      <x:c r="X35" s="1194"/>
      <x:c r="Y35" s="339"/>
      <x:c r="Z35" s="339"/>
    </x:row>
    <x:row r="36">
      <x:c r="A36" s="28" t="str">
        <x:v>Mature annual national programme cost</x:v>
      </x:c>
      <x:c r="B36" s="470" t="str"/>
      <x:c r="C36" s="345" t="n">
        <x:f>C26</x:f>
        <x:v>1526137729.0833335</x:v>
      </x:c>
      <x:c r="D36" s="28" t="str">
        <x:v>NZD</x:v>
      </x:c>
      <x:c r="E36" s="28" t="str">
        <x:v>Model</x:v>
      </x:c>
      <x:c r="F36" s="28" t="str">
        <x:v>Planning estimate</x:v>
      </x:c>
      <x:c r="G36" s="28" t="str">
        <x:v>Yes</x:v>
      </x:c>
      <x:c r="H36" s="28" t="str">
        <x:v>Cost of supporting five overlapping school-year cohorts.</x:v>
      </x:c>
      <x:c r="I36" s="339"/>
      <x:c r="J36" s="339"/>
      <x:c r="K36" s="339"/>
      <x:c r="L36" s="339"/>
      <x:c r="M36" s="339"/>
      <x:c r="N36" s="339"/>
      <x:c r="O36" s="339"/>
      <x:c r="P36" s="339"/>
      <x:c r="Q36" s="339"/>
      <x:c r="R36" s="339"/>
      <x:c r="S36" s="339"/>
      <x:c r="T36" s="339"/>
      <x:c r="U36" s="1194"/>
      <x:c r="V36" s="1194"/>
      <x:c r="W36" s="1194"/>
      <x:c r="X36" s="1194"/>
      <x:c r="Y36" s="339"/>
      <x:c r="Z36" s="339"/>
    </x:row>
    <x:row r="37">
      <x:c r="A37" s="28" t="str">
        <x:v>Illustrative lifetime societal BCR</x:v>
      </x:c>
      <x:c r="B37" s="470" t="str"/>
      <x:c r="C37" s="478" t="n">
        <x:f>C29</x:f>
        <x:v>0.24951900733553492</x:v>
      </x:c>
      <x:c r="D37" s="28" t="str">
        <x:v>x</x:v>
      </x:c>
      <x:c r="E37" s="28" t="str">
        <x:v>Calculated</x:v>
      </x:c>
      <x:c r="F37" s="28" t="str">
        <x:v>Low</x:v>
      </x:c>
      <x:c r="G37" s="28" t="str">
        <x:v>Scenario only</x:v>
      </x:c>
      <x:c r="H37" s="28" t="str">
        <x:v>Central 25% relative reduction does not pay for the national programme.</x:v>
      </x:c>
      <x:c r="I37" s="339"/>
      <x:c r="J37" s="339"/>
      <x:c r="K37" s="339"/>
      <x:c r="L37" s="339"/>
      <x:c r="M37" s="339"/>
      <x:c r="N37" s="339"/>
      <x:c r="O37" s="339"/>
      <x:c r="P37" s="339"/>
      <x:c r="Q37" s="339"/>
      <x:c r="R37" s="339"/>
      <x:c r="S37" s="339"/>
      <x:c r="T37" s="339"/>
      <x:c r="U37" s="1194"/>
      <x:c r="V37" s="1194"/>
      <x:c r="W37" s="1194"/>
      <x:c r="X37" s="1194"/>
      <x:c r="Y37" s="339"/>
      <x:c r="Z37" s="339"/>
    </x:row>
    <x:row r="38">
      <x:c r="A38" s="28" t="str">
        <x:v>Break-even relative reduction — lifetime societal</x:v>
      </x:c>
      <x:c r="B38" s="470" t="str"/>
      <x:c r="C38" s="347" t="n">
        <x:f>C26/(C14*C15*C17*$B$11*C19)</x:f>
        <x:v>1.0019276794565726</x:v>
      </x:c>
      <x:c r="D38" s="28" t="str">
        <x:v>%</x:v>
      </x:c>
      <x:c r="E38" s="28" t="str">
        <x:v>Reverse calculation</x:v>
      </x:c>
      <x:c r="F38" s="28" t="str">
        <x:v>Low</x:v>
      </x:c>
      <x:c r="G38" s="28" t="str">
        <x:v>Scenario only</x:v>
      </x:c>
      <x:c r="H38" s="28" t="str">
        <x:v>If above 100%, even eliminating all modelled sustained risk would not break even under these assumptions.</x:v>
      </x:c>
      <x:c r="I38" s="339"/>
      <x:c r="J38" s="339"/>
      <x:c r="K38" s="339"/>
      <x:c r="L38" s="339"/>
      <x:c r="M38" s="339"/>
      <x:c r="N38" s="339"/>
      <x:c r="O38" s="339"/>
      <x:c r="P38" s="339"/>
      <x:c r="Q38" s="339"/>
      <x:c r="R38" s="339"/>
      <x:c r="S38" s="339"/>
      <x:c r="T38" s="339"/>
      <x:c r="U38" s="1194"/>
      <x:c r="V38" s="1194"/>
      <x:c r="W38" s="1194"/>
      <x:c r="X38" s="1194"/>
      <x:c r="Y38" s="339"/>
      <x:c r="Z38" s="339"/>
    </x:row>
    <x:row r="39">
      <x:c r="A39" s="28" t="str">
        <x:v>Break-even relative reduction — lifetime fiscal</x:v>
      </x:c>
      <x:c r="B39" s="470" t="str"/>
      <x:c r="C39" s="347" t="n">
        <x:f>C26/(C14*C15*C17*$B$10*C19)</x:f>
        <x:v>2.3527291533605</x:v>
      </x:c>
      <x:c r="D39" s="28" t="str">
        <x:v>%</x:v>
      </x:c>
      <x:c r="E39" s="28" t="str">
        <x:v>Reverse calculation</x:v>
      </x:c>
      <x:c r="F39" s="28" t="str">
        <x:v>Low</x:v>
      </x:c>
      <x:c r="G39" s="28" t="str">
        <x:v>Scenario only</x:v>
      </x:c>
      <x:c r="H39" s="28" t="str">
        <x:v>Narrow Crown break-even is substantially harder.</x:v>
      </x:c>
      <x:c r="I39" s="339"/>
      <x:c r="J39" s="339"/>
      <x:c r="K39" s="339"/>
      <x:c r="L39" s="339"/>
      <x:c r="M39" s="339"/>
      <x:c r="N39" s="339"/>
      <x:c r="O39" s="339"/>
      <x:c r="P39" s="339"/>
      <x:c r="Q39" s="339"/>
      <x:c r="R39" s="339"/>
      <x:c r="S39" s="339"/>
      <x:c r="T39" s="339"/>
      <x:c r="U39" s="1194"/>
      <x:c r="V39" s="1194"/>
      <x:c r="W39" s="1194"/>
      <x:c r="X39" s="1194"/>
      <x:c r="Y39" s="339"/>
      <x:c r="Z39" s="339"/>
    </x:row>
    <x:row r="40">
      <x:c r="A40" s="28"/>
      <x:c r="B40" s="28"/>
      <x:c r="C40" s="28"/>
      <x:c r="D40" s="28"/>
      <x:c r="E40" s="28"/>
      <x:c r="F40" s="28"/>
      <x:c r="G40" s="28"/>
      <x:c r="H40" s="28"/>
      <x:c r="I40" s="339"/>
      <x:c r="J40" s="339"/>
      <x:c r="K40" s="339"/>
      <x:c r="L40" s="339"/>
      <x:c r="M40" s="339"/>
      <x:c r="N40" s="339"/>
      <x:c r="O40" s="339"/>
      <x:c r="P40" s="339"/>
      <x:c r="Q40" s="339"/>
      <x:c r="R40" s="339"/>
      <x:c r="S40" s="339"/>
      <x:c r="T40" s="339"/>
      <x:c r="U40" s="1194"/>
      <x:c r="V40" s="1194"/>
      <x:c r="W40" s="1194"/>
      <x:c r="X40" s="1194"/>
      <x:c r="Y40" s="339"/>
      <x:c r="Z40" s="339"/>
    </x:row>
    <x:row r="41" ht="21" customHeight="1">
      <x:c r="A41" s="368" t="str">
        <x:v>Why the tempting $8b-style calculation is invalid</x:v>
      </x:c>
      <x:c r="B41" s="368" t="str">
        <x:v>Why the tempting $8b-style calculation is invalid</x:v>
      </x:c>
      <x:c r="C41" s="368" t="str">
        <x:v>Why the tempting $8b-style calculation is invalid</x:v>
      </x:c>
      <x:c r="D41" s="368" t="str">
        <x:v>Why the tempting $8b-style calculation is invalid</x:v>
      </x:c>
      <x:c r="E41" s="368" t="str">
        <x:v>Why the tempting $8b-style calculation is invalid</x:v>
      </x:c>
      <x:c r="F41" s="368" t="str">
        <x:v>Why the tempting $8b-style calculation is invalid</x:v>
      </x:c>
      <x:c r="G41" s="368" t="str">
        <x:v>Why the tempting $8b-style calculation is invalid</x:v>
      </x:c>
      <x:c r="H41" s="368" t="str">
        <x:v>Why the tempting $8b-style calculation is invalid</x:v>
      </x:c>
      <x:c r="I41" s="339"/>
      <x:c r="J41" s="339"/>
      <x:c r="K41" s="339"/>
      <x:c r="L41" s="339"/>
      <x:c r="M41" s="339"/>
      <x:c r="N41" s="339"/>
      <x:c r="O41" s="339"/>
      <x:c r="P41" s="339"/>
      <x:c r="Q41" s="339"/>
      <x:c r="R41" s="339"/>
      <x:c r="S41" s="339"/>
      <x:c r="T41" s="339"/>
      <x:c r="U41" s="1194"/>
      <x:c r="V41" s="1194"/>
      <x:c r="W41" s="1194"/>
      <x:c r="X41" s="1194"/>
      <x:c r="Y41" s="339"/>
      <x:c r="Z41" s="339"/>
    </x:row>
    <x:row r="42">
      <x:c r="A42" s="28" t="str">
        <x:v>Tempting calculation</x:v>
      </x:c>
      <x:c r="B42" s="28" t="str">
        <x:v>90,000 current NEET × 25% × lifetime cost</x:v>
      </x:c>
      <x:c r="C42" s="28" t="str">
        <x:v>Looks large</x:v>
      </x:c>
      <x:c r="D42" s="28" t="str">
        <x:v>—</x:v>
      </x:c>
      <x:c r="E42" s="28" t="str">
        <x:v>—</x:v>
      </x:c>
      <x:c r="F42" s="28" t="str">
        <x:v>Invalid</x:v>
      </x:c>
      <x:c r="G42" s="28" t="str">
        <x:v>No</x:v>
      </x:c>
      <x:c r="H42" s="28" t="str">
        <x:v>It combines a 10-year age-stock with a one-year programme cost and assumes all avoided cases are sustained, attributable and monetisable.</x:v>
      </x:c>
      <x:c r="I42" s="339"/>
      <x:c r="J42" s="339"/>
      <x:c r="K42" s="339"/>
      <x:c r="L42" s="339"/>
      <x:c r="M42" s="339"/>
      <x:c r="N42" s="339"/>
      <x:c r="O42" s="339"/>
      <x:c r="P42" s="339"/>
      <x:c r="Q42" s="339"/>
      <x:c r="R42" s="339"/>
      <x:c r="S42" s="339"/>
      <x:c r="T42" s="339"/>
      <x:c r="U42" s="1194"/>
      <x:c r="V42" s="1194"/>
      <x:c r="W42" s="1194"/>
      <x:c r="X42" s="1194"/>
      <x:c r="Y42" s="339"/>
      <x:c r="Z42" s="339"/>
    </x:row>
    <x:row r="43">
      <x:c r="A43" s="28" t="str">
        <x:v>Correct unit of analysis</x:v>
      </x:c>
      <x:c r="B43" s="28" t="str">
        <x:v>Annual entrant/exit cohort under a five-year school programme</x:v>
      </x:c>
      <x:c r="C43" s="28" t="str">
        <x:v>Cohort-aligned</x:v>
      </x:c>
      <x:c r="D43" s="28" t="str">
        <x:v>—</x:v>
      </x:c>
      <x:c r="E43" s="28" t="str">
        <x:v>S04;S05</x:v>
      </x:c>
      <x:c r="F43" s="28" t="str">
        <x:v>Required</x:v>
      </x:c>
      <x:c r="G43" s="28" t="str">
        <x:v>Yes</x:v>
      </x:c>
      <x:c r="H43" s="28" t="str">
        <x:v>One mature annual programme cost corresponds to one cohort's five years of support.</x:v>
      </x:c>
      <x:c r="I43" s="339"/>
      <x:c r="J43" s="339"/>
      <x:c r="K43" s="339"/>
      <x:c r="L43" s="339"/>
      <x:c r="M43" s="339"/>
      <x:c r="N43" s="339"/>
      <x:c r="O43" s="339"/>
      <x:c r="P43" s="339"/>
      <x:c r="Q43" s="339"/>
      <x:c r="R43" s="339"/>
      <x:c r="S43" s="339"/>
      <x:c r="T43" s="339"/>
      <x:c r="U43" s="1194"/>
      <x:c r="V43" s="1194"/>
      <x:c r="W43" s="1194"/>
      <x:c r="X43" s="1194"/>
      <x:c r="Y43" s="339"/>
      <x:c r="Z43" s="339"/>
    </x:row>
    <x:row r="44">
      <x:c r="A44" s="28" t="str">
        <x:v>Relative vs percentage-point reduction</x:v>
      </x:c>
      <x:c r="B44" s="28" t="str">
        <x:v>25% relative reduction of a 15% risk = 3.75 percentage points</x:v>
      </x:c>
      <x:c r="C44" s="28" t="str">
        <x:v>15.0% → 11.25%</x:v>
      </x:c>
      <x:c r="D44" s="28" t="str">
        <x:v>—</x:v>
      </x:c>
      <x:c r="E44" s="28" t="str">
        <x:v>Scenario</x:v>
      </x:c>
      <x:c r="F44" s="28" t="str">
        <x:v>Required</x:v>
      </x:c>
      <x:c r="G44" s="28" t="str">
        <x:v>Yes</x:v>
      </x:c>
      <x:c r="H44" s="28" t="str">
        <x:v>A 25 percentage-point fall would be impossible from a 15% baseline.</x:v>
      </x:c>
      <x:c r="I44" s="339"/>
      <x:c r="J44" s="339"/>
      <x:c r="K44" s="339"/>
      <x:c r="L44" s="339"/>
      <x:c r="M44" s="339"/>
      <x:c r="N44" s="339"/>
      <x:c r="O44" s="339"/>
      <x:c r="P44" s="339"/>
      <x:c r="Q44" s="339"/>
      <x:c r="R44" s="339"/>
      <x:c r="S44" s="339"/>
      <x:c r="T44" s="339"/>
      <x:c r="U44" s="1194"/>
      <x:c r="V44" s="1194"/>
      <x:c r="W44" s="1194"/>
      <x:c r="X44" s="1194"/>
      <x:c r="Y44" s="339"/>
      <x:c r="Z44" s="339"/>
    </x:row>
    <x:row r="45">
      <x:c r="A45" s="349" t="str">
        <x:v>Conclusion</x:v>
      </x:c>
      <x:c r="B45" s="349" t="str">
        <x:v>A 25% relative reduction is valuable, but does not fund the central national model</x:v>
      </x:c>
      <x:c r="C45" s="349" t="str">
        <x:v>Do not claim self-funding</x:v>
      </x:c>
      <x:c r="D45" s="349" t="str">
        <x:v>—</x:v>
      </x:c>
      <x:c r="E45" s="349" t="str">
        <x:v>Calculated</x:v>
      </x:c>
      <x:c r="F45" s="349" t="str">
        <x:v>High</x:v>
      </x:c>
      <x:c r="G45" s="349" t="str">
        <x:v>Yes</x:v>
      </x:c>
      <x:c r="H45" s="349" t="str">
        <x:v>The pilot must establish effectiveness and identify a materially cheaper or better-targeted delivery model.</x:v>
      </x:c>
      <x:c r="I45" s="339"/>
      <x:c r="J45" s="339"/>
      <x:c r="K45" s="339"/>
      <x:c r="L45" s="339"/>
      <x:c r="M45" s="339"/>
      <x:c r="N45" s="339"/>
      <x:c r="O45" s="339"/>
      <x:c r="P45" s="339"/>
      <x:c r="Q45" s="339"/>
      <x:c r="R45" s="339"/>
      <x:c r="S45" s="339"/>
      <x:c r="T45" s="339"/>
      <x:c r="U45" s="1194"/>
      <x:c r="V45" s="1194"/>
      <x:c r="W45" s="1194"/>
      <x:c r="X45" s="1194"/>
      <x:c r="Y45" s="339"/>
      <x:c r="Z45" s="339"/>
    </x:row>
    <x:row r="46">
      <x:c r="A46" s="28"/>
      <x:c r="B46" s="28"/>
      <x:c r="C46" s="28"/>
      <x:c r="D46" s="28"/>
      <x:c r="E46" s="28"/>
      <x:c r="F46" s="28"/>
      <x:c r="G46" s="28"/>
      <x:c r="H46" s="28"/>
      <x:c r="I46" s="339"/>
      <x:c r="J46" s="339"/>
      <x:c r="K46" s="339"/>
      <x:c r="L46" s="339"/>
      <x:c r="M46" s="339"/>
      <x:c r="N46" s="339"/>
      <x:c r="O46" s="339"/>
      <x:c r="P46" s="339"/>
      <x:c r="Q46" s="339"/>
      <x:c r="R46" s="339"/>
      <x:c r="S46" s="339"/>
      <x:c r="T46" s="339"/>
      <x:c r="U46" s="1194"/>
      <x:c r="V46" s="1194"/>
      <x:c r="W46" s="1194"/>
      <x:c r="X46" s="1194"/>
      <x:c r="Y46" s="339"/>
      <x:c r="Z46" s="339"/>
    </x:row>
    <x:row r="47" ht="21" customHeight="1">
      <x:c r="A47" s="368" t="str">
        <x:v>Optional downstream impacts — identified but excluded from headline BCR</x:v>
      </x:c>
      <x:c r="B47" s="368" t="str">
        <x:v>Optional downstream impacts — identified but excluded from headline BCR</x:v>
      </x:c>
      <x:c r="C47" s="368" t="str">
        <x:v>Optional downstream impacts — identified but excluded from headline BCR</x:v>
      </x:c>
      <x:c r="D47" s="368" t="str">
        <x:v>Optional downstream impacts — identified but excluded from headline BCR</x:v>
      </x:c>
      <x:c r="E47" s="368" t="str">
        <x:v>Optional downstream impacts — identified but excluded from headline BCR</x:v>
      </x:c>
      <x:c r="F47" s="368" t="str">
        <x:v>Optional downstream impacts — identified but excluded from headline BCR</x:v>
      </x:c>
      <x:c r="G47" s="368" t="str">
        <x:v>Optional downstream impacts — identified but excluded from headline BCR</x:v>
      </x:c>
      <x:c r="H47" s="368" t="str">
        <x:v>Optional downstream impacts — identified but excluded from headline BCR</x:v>
      </x:c>
      <x:c r="I47" s="339"/>
      <x:c r="J47" s="339"/>
      <x:c r="K47" s="339"/>
      <x:c r="L47" s="339"/>
      <x:c r="M47" s="339"/>
      <x:c r="N47" s="339"/>
      <x:c r="O47" s="339"/>
      <x:c r="P47" s="339"/>
      <x:c r="Q47" s="339"/>
      <x:c r="R47" s="339"/>
      <x:c r="S47" s="339"/>
      <x:c r="T47" s="339"/>
      <x:c r="U47" s="1194"/>
      <x:c r="V47" s="1194"/>
      <x:c r="W47" s="1194"/>
      <x:c r="X47" s="1194"/>
      <x:c r="Y47" s="339"/>
      <x:c r="Z47" s="339"/>
    </x:row>
    <x:row r="48">
      <x:c r="A48" s="28" t="str">
        <x:v>Avoided Jobseeker Support</x:v>
      </x:c>
      <x:c r="B48" s="28" t="str">
        <x:v>Potential welfare saving</x:v>
      </x:c>
      <x:c r="C48" s="28" t="str">
        <x:v>$17,167 per person-year</x:v>
      </x:c>
      <x:c r="D48" s="28" t="str">
        <x:v>S21</x:v>
      </x:c>
      <x:c r="E48" s="28" t="str">
        <x:v>Official unit value</x:v>
      </x:c>
      <x:c r="F48" s="28" t="str">
        <x:v>Excluded</x:v>
      </x:c>
      <x:c r="G48" s="28" t="str">
        <x:v>Already overlaps with Pacheco public-finance component; requires duration and receipt probability.</x:v>
      </x:c>
      <x:c r="H48" s="28" t="str"/>
      <x:c r="I48" s="339"/>
      <x:c r="J48" s="339"/>
      <x:c r="K48" s="339"/>
      <x:c r="L48" s="339"/>
      <x:c r="M48" s="339"/>
      <x:c r="N48" s="339"/>
      <x:c r="O48" s="339"/>
      <x:c r="P48" s="339"/>
      <x:c r="Q48" s="339"/>
      <x:c r="R48" s="339"/>
      <x:c r="S48" s="339"/>
      <x:c r="T48" s="339"/>
      <x:c r="U48" s="1194"/>
      <x:c r="V48" s="1194"/>
      <x:c r="W48" s="1194"/>
      <x:c r="X48" s="1194"/>
      <x:c r="Y48" s="339"/>
      <x:c r="Z48" s="339"/>
    </x:row>
    <x:row r="49">
      <x:c r="A49" s="28" t="str">
        <x:v>Additional income tax and ACC</x:v>
      </x:c>
      <x:c r="B49" s="28" t="str">
        <x:v>Potential additional Crown revenue</x:v>
      </x:c>
      <x:c r="C49" s="28" t="str">
        <x:v>$123 marginal annual value for no qualification → upper secondary</x:v>
      </x:c>
      <x:c r="D49" s="28" t="str">
        <x:v>S21</x:v>
      </x:c>
      <x:c r="E49" s="28" t="str">
        <x:v>Official unit value</x:v>
      </x:c>
      <x:c r="F49" s="28" t="str">
        <x:v>Excluded</x:v>
      </x:c>
      <x:c r="G49" s="28" t="str">
        <x:v>Small CBAx marginal value and may overlap with Pacheco.</x:v>
      </x:c>
      <x:c r="H49" s="28" t="str"/>
      <x:c r="I49" s="339"/>
      <x:c r="J49" s="339"/>
      <x:c r="K49" s="339"/>
      <x:c r="L49" s="339"/>
      <x:c r="M49" s="339"/>
      <x:c r="N49" s="339"/>
      <x:c r="O49" s="339"/>
      <x:c r="P49" s="339"/>
      <x:c r="Q49" s="339"/>
      <x:c r="R49" s="339"/>
      <x:c r="S49" s="339"/>
      <x:c r="T49" s="339"/>
      <x:c r="U49" s="1194"/>
      <x:c r="V49" s="1194"/>
      <x:c r="W49" s="1194"/>
      <x:c r="X49" s="1194"/>
      <x:c r="Y49" s="339"/>
      <x:c r="Z49" s="339"/>
    </x:row>
    <x:row r="50">
      <x:c r="A50" s="28" t="str">
        <x:v>Reduced police, diversion and corrections demand</x:v>
      </x:c>
      <x:c r="B50" s="28" t="str">
        <x:v>Potential justice saving</x:v>
      </x:c>
      <x:c r="C50" s="28" t="str">
        <x:v>Police $152/hour; low-risk diversion $4,638; sentenced inmate $211,350/year</x:v>
      </x:c>
      <x:c r="D50" s="28" t="str">
        <x:v>S21</x:v>
      </x:c>
      <x:c r="E50" s="28" t="str">
        <x:v>Official unit values</x:v>
      </x:c>
      <x:c r="F50" s="28" t="str">
        <x:v>Excluded</x:v>
      </x:c>
      <x:c r="G50" s="28" t="str">
        <x:v>No credible incidence change has yet been estimated; custody savings are not one-for-one cash releases.</x:v>
      </x:c>
      <x:c r="H50" s="28" t="str"/>
      <x:c r="I50" s="339"/>
      <x:c r="J50" s="339"/>
      <x:c r="K50" s="339"/>
      <x:c r="L50" s="339"/>
      <x:c r="M50" s="339"/>
      <x:c r="N50" s="339"/>
      <x:c r="O50" s="339"/>
      <x:c r="P50" s="339"/>
      <x:c r="Q50" s="339"/>
      <x:c r="R50" s="339"/>
      <x:c r="S50" s="339"/>
      <x:c r="T50" s="339"/>
      <x:c r="U50" s="1194"/>
      <x:c r="V50" s="1194"/>
      <x:c r="W50" s="1194"/>
      <x:c r="X50" s="1194"/>
      <x:c r="Y50" s="339"/>
      <x:c r="Z50" s="339"/>
    </x:row>
    <x:row r="51">
      <x:c r="A51" s="28" t="str">
        <x:v>Reduced unemployment wellbeing loss</x:v>
      </x:c>
      <x:c r="B51" s="28" t="str">
        <x:v>Potential non-fiscal wellbeing benefit</x:v>
      </x:c>
      <x:c r="C51" s="28" t="str">
        <x:v>$9,545/person-year</x:v>
      </x:c>
      <x:c r="D51" s="28" t="str">
        <x:v>S21</x:v>
      </x:c>
      <x:c r="E51" s="28" t="str">
        <x:v>Official unit value</x:v>
      </x:c>
      <x:c r="F51" s="28" t="str">
        <x:v>Excluded</x:v>
      </x:c>
      <x:c r="G51" s="28" t="str">
        <x:v>Non-government wellbeing impact; requires duration and counterfactual.</x:v>
      </x:c>
      <x:c r="H51" s="28" t="str"/>
      <x:c r="I51" s="339"/>
      <x:c r="J51" s="339"/>
      <x:c r="K51" s="339"/>
      <x:c r="L51" s="339"/>
      <x:c r="M51" s="339"/>
      <x:c r="N51" s="339"/>
      <x:c r="O51" s="339"/>
      <x:c r="P51" s="339"/>
      <x:c r="Q51" s="339"/>
      <x:c r="R51" s="339"/>
      <x:c r="S51" s="339"/>
      <x:c r="T51" s="339"/>
      <x:c r="U51" s="1194"/>
      <x:c r="V51" s="1194"/>
      <x:c r="W51" s="1194"/>
      <x:c r="X51" s="1194"/>
      <x:c r="Y51" s="339"/>
      <x:c r="Z51" s="339"/>
    </x:row>
    <x:row r="52">
      <x:c r="A52" s="28" t="str">
        <x:v>Higher earnings, productivity and GDP</x:v>
      </x:c>
      <x:c r="B52" s="28" t="str">
        <x:v>Core societal benefit</x:v>
      </x:c>
      <x:c r="C52" s="28" t="str">
        <x:v>Captured partly in Pacheco productivity component</x:v>
      </x:c>
      <x:c r="D52" s="28" t="str">
        <x:v>S02</x:v>
      </x:c>
      <x:c r="E52" s="28" t="str">
        <x:v>Medium</x:v>
      </x:c>
      <x:c r="F52" s="28" t="str">
        <x:v>Included through Pacheco only</x:v>
      </x:c>
      <x:c r="G52" s="28" t="str">
        <x:v>Do not add a second earnings stream without removing overlap.</x:v>
      </x:c>
      <x:c r="H52" s="28" t="str"/>
      <x:c r="I52" s="339"/>
      <x:c r="J52" s="339"/>
      <x:c r="K52" s="339"/>
      <x:c r="L52" s="339"/>
      <x:c r="M52" s="339"/>
      <x:c r="N52" s="339"/>
      <x:c r="O52" s="339"/>
      <x:c r="P52" s="339"/>
      <x:c r="Q52" s="339"/>
      <x:c r="R52" s="339"/>
      <x:c r="S52" s="339"/>
      <x:c r="T52" s="339"/>
      <x:c r="U52" s="1194"/>
      <x:c r="V52" s="1194"/>
      <x:c r="W52" s="1194"/>
      <x:c r="X52" s="1194"/>
      <x:c r="Y52" s="339"/>
      <x:c r="Z52" s="339"/>
    </x:row>
    <x:row r="53">
      <x:c r="A53" s="28" t="str">
        <x:v>Larger future tax base for an ageing population</x:v>
      </x:c>
      <x:c r="B53" s="28" t="str">
        <x:v>Strategic fiscal benefit</x:v>
      </x:c>
      <x:c r="C53" s="28" t="str">
        <x:v>Not monetised here</x:v>
      </x:c>
      <x:c r="D53" s="28" t="str">
        <x:v>S01;S23</x:v>
      </x:c>
      <x:c r="E53" s="28" t="str">
        <x:v>Qualitative</x:v>
      </x:c>
      <x:c r="F53" s="28" t="str">
        <x:v>Excluded</x:v>
      </x:c>
      <x:c r="G53" s="28" t="str">
        <x:v>Requires long-run labour-force, migration and fiscal modelling.</x:v>
      </x:c>
      <x:c r="H53" s="28" t="str"/>
      <x:c r="I53" s="339"/>
      <x:c r="J53" s="339"/>
      <x:c r="K53" s="339"/>
      <x:c r="L53" s="339"/>
      <x:c r="M53" s="339"/>
      <x:c r="N53" s="339"/>
      <x:c r="O53" s="339"/>
      <x:c r="P53" s="339"/>
      <x:c r="Q53" s="339"/>
      <x:c r="R53" s="339"/>
      <x:c r="S53" s="339"/>
      <x:c r="T53" s="339"/>
      <x:c r="U53" s="1194"/>
      <x:c r="V53" s="1194"/>
      <x:c r="W53" s="1194"/>
      <x:c r="X53" s="1194"/>
      <x:c r="Y53" s="339"/>
      <x:c r="Z53" s="339"/>
    </x:row>
    <x:row r="54">
      <x:c r="A54" s="28" t="str">
        <x:v>Domestic skills for infrastructure pipeline</x:v>
      </x:c>
      <x:c r="B54" s="28" t="str">
        <x:v>Strategic labour-supply benefit</x:v>
      </x:c>
      <x:c r="C54" s="28" t="str">
        <x:v>Not monetised here</x:v>
      </x:c>
      <x:c r="D54" s="28" t="str">
        <x:v>S01;S23</x:v>
      </x:c>
      <x:c r="E54" s="28" t="str">
        <x:v>Qualitative</x:v>
      </x:c>
      <x:c r="F54" s="28" t="str">
        <x:v>Excluded</x:v>
      </x:c>
      <x:c r="G54" s="28" t="str">
        <x:v>Requires occupation-specific transition evidence and infrastructure workforce modelling.</x:v>
      </x:c>
      <x:c r="H54" s="28" t="str"/>
      <x:c r="I54" s="339"/>
      <x:c r="J54" s="339"/>
      <x:c r="K54" s="339"/>
      <x:c r="L54" s="339"/>
      <x:c r="M54" s="339"/>
      <x:c r="N54" s="339"/>
      <x:c r="O54" s="339"/>
      <x:c r="P54" s="339"/>
      <x:c r="Q54" s="339"/>
      <x:c r="R54" s="339"/>
      <x:c r="S54" s="339"/>
      <x:c r="T54" s="339"/>
      <x:c r="U54" s="1194"/>
      <x:c r="V54" s="1194"/>
      <x:c r="W54" s="1194"/>
      <x:c r="X54" s="1194"/>
      <x:c r="Y54" s="339"/>
      <x:c r="Z54" s="339"/>
    </x:row>
    <x:row r="55">
      <x:c r="A55" s="339"/>
      <x:c r="B55" s="339"/>
      <x:c r="C55" s="339"/>
      <x:c r="D55" s="339"/>
      <x:c r="E55" s="339"/>
      <x:c r="F55" s="339"/>
      <x:c r="G55" s="339"/>
      <x:c r="H55" s="339"/>
      <x:c r="I55" s="339"/>
      <x:c r="J55" s="339"/>
      <x:c r="K55" s="339"/>
      <x:c r="L55" s="339"/>
      <x:c r="M55" s="339"/>
      <x:c r="N55" s="339"/>
      <x:c r="O55" s="339"/>
      <x:c r="P55" s="339"/>
      <x:c r="Q55" s="339"/>
      <x:c r="R55" s="339"/>
      <x:c r="S55" s="339"/>
      <x:c r="T55" s="339"/>
      <x:c r="U55" s="1194"/>
      <x:c r="V55" s="1194"/>
      <x:c r="W55" s="1194"/>
      <x:c r="X55" s="1194"/>
      <x:c r="Y55" s="339"/>
      <x:c r="Z55" s="339"/>
    </x:row>
    <x:row r="56">
      <x:c r="A56" s="339"/>
      <x:c r="B56" s="339"/>
      <x:c r="C56" s="339"/>
      <x:c r="D56" s="339"/>
      <x:c r="E56" s="339"/>
      <x:c r="F56" s="339"/>
      <x:c r="G56" s="339"/>
      <x:c r="H56" s="339"/>
      <x:c r="I56" s="339"/>
      <x:c r="J56" s="339"/>
      <x:c r="K56" s="339"/>
      <x:c r="L56" s="339"/>
      <x:c r="M56" s="339"/>
      <x:c r="N56" s="339"/>
      <x:c r="O56" s="339"/>
      <x:c r="P56" s="339"/>
      <x:c r="Q56" s="339"/>
      <x:c r="R56" s="339"/>
      <x:c r="S56" s="339"/>
      <x:c r="T56" s="339"/>
      <x:c r="U56" s="1194"/>
      <x:c r="V56" s="1194"/>
      <x:c r="W56" s="1194"/>
      <x:c r="X56" s="1194"/>
      <x:c r="Y56" s="339"/>
      <x:c r="Z56" s="339"/>
    </x:row>
    <x:row r="57" ht="22" customHeight="1">
      <x:c r="A57" s="506" t="str">
        <x:v>Student, Crown and social outcomes — separate perspectives</x:v>
      </x:c>
      <x:c r="B57" s="506" t="str">
        <x:v>Student, Crown and social outcomes — separate perspectives</x:v>
      </x:c>
      <x:c r="C57" s="506" t="str">
        <x:v>Student, Crown and social outcomes — separate perspectives</x:v>
      </x:c>
      <x:c r="D57" s="506" t="str">
        <x:v>Student, Crown and social outcomes — separate perspectives</x:v>
      </x:c>
      <x:c r="E57" s="506" t="str">
        <x:v>Student, Crown and social outcomes — separate perspectives</x:v>
      </x:c>
      <x:c r="F57" s="506" t="str">
        <x:v>Student, Crown and social outcomes — separate perspectives</x:v>
      </x:c>
      <x:c r="G57" s="506" t="str">
        <x:v>Student, Crown and social outcomes — separate perspectives</x:v>
      </x:c>
      <x:c r="H57" s="506" t="str">
        <x:v>Student, Crown and social outcomes — separate perspectives</x:v>
      </x:c>
      <x:c r="I57" s="339"/>
      <x:c r="J57" s="339"/>
      <x:c r="K57" s="339"/>
      <x:c r="L57" s="339"/>
      <x:c r="M57" s="339"/>
      <x:c r="N57" s="339"/>
      <x:c r="O57" s="339"/>
      <x:c r="P57" s="339"/>
      <x:c r="Q57" s="339"/>
      <x:c r="R57" s="339"/>
      <x:c r="S57" s="339"/>
      <x:c r="T57" s="339"/>
      <x:c r="U57" s="1194"/>
      <x:c r="V57" s="1194"/>
      <x:c r="W57" s="1194"/>
      <x:c r="X57" s="1194"/>
      <x:c r="Y57" s="339"/>
      <x:c r="Z57" s="339"/>
    </x:row>
    <x:row r="58" ht="28" customHeight="1">
      <x:c r="A58" s="527" t="str">
        <x:v>Outcome measure</x:v>
      </x:c>
      <x:c r="B58" s="527" t="str">
        <x:v>Pilot central</x:v>
      </x:c>
      <x:c r="C58" s="527" t="str">
        <x:v>National central</x:v>
      </x:c>
      <x:c r="D58" s="527" t="str">
        <x:v>Unit</x:v>
      </x:c>
      <x:c r="E58" s="527" t="str">
        <x:v>Evidence basis</x:v>
      </x:c>
      <x:c r="F58" s="527" t="str">
        <x:v>Overlap treatment</x:v>
      </x:c>
      <x:c r="G58" s="527" t="str">
        <x:v>Included in which view?</x:v>
      </x:c>
      <x:c r="H58" s="527" t="str">
        <x:v>Interpretation</x:v>
      </x:c>
      <x:c r="I58" s="339"/>
      <x:c r="J58" s="339"/>
      <x:c r="K58" s="339"/>
      <x:c r="L58" s="339"/>
      <x:c r="M58" s="339"/>
      <x:c r="N58" s="339"/>
      <x:c r="O58" s="339"/>
      <x:c r="P58" s="339"/>
      <x:c r="Q58" s="339"/>
      <x:c r="R58" s="339"/>
      <x:c r="S58" s="339"/>
      <x:c r="T58" s="339"/>
      <x:c r="U58" s="1194"/>
      <x:c r="V58" s="1194"/>
      <x:c r="W58" s="1194"/>
      <x:c r="X58" s="1194"/>
      <x:c r="Y58" s="339"/>
      <x:c r="Z58" s="339"/>
    </x:row>
    <x:row r="59">
      <x:c r="A59" s="339" t="str">
        <x:v>Student: participation payments per participant over the modelled stage</x:v>
      </x:c>
      <x:c r="B59" s="459" t="n">
        <x:f>'Stage 1 - Pilot'!$L$16/Assumptions!$E$17</x:f>
        <x:v>11400</x:v>
      </x:c>
      <x:c r="C59" s="459" t="n">
        <x:f>'Learning Capital &amp; ROI'!$C$21</x:f>
        <x:v>19500</x:v>
      </x:c>
      <x:c r="D59" s="339" t="str">
        <x:v>NZD</x:v>
      </x:c>
      <x:c r="E59" s="339" t="str">
        <x:v>Programme formula</x:v>
      </x:c>
      <x:c r="F59" s="339" t="str">
        <x:v>Not a social benefit by itself</x:v>
      </x:c>
      <x:c r="G59" s="339" t="str">
        <x:v>Student outcome</x:v>
      </x:c>
      <x:c r="H59" s="339" t="str">
        <x:v>Includes immediate access and protected education capital.</x:v>
      </x:c>
      <x:c r="I59" s="339"/>
      <x:c r="J59" s="339"/>
      <x:c r="K59" s="339"/>
      <x:c r="L59" s="339"/>
      <x:c r="M59" s="339"/>
      <x:c r="N59" s="339"/>
      <x:c r="O59" s="339"/>
      <x:c r="P59" s="339"/>
      <x:c r="Q59" s="339"/>
      <x:c r="R59" s="339"/>
      <x:c r="S59" s="339"/>
      <x:c r="T59" s="339"/>
      <x:c r="U59" s="1194"/>
      <x:c r="V59" s="1194"/>
      <x:c r="W59" s="1194"/>
      <x:c r="X59" s="1194"/>
      <x:c r="Y59" s="339"/>
      <x:c r="Z59" s="339"/>
    </x:row>
    <x:row r="60">
      <x:c r="A60" s="339" t="str">
        <x:v>Student: closing nominal Learning Capital balance</x:v>
      </x:c>
      <x:c r="B60" s="459" t="n">
        <x:f>'Learning Capital &amp; ROI'!$H$44</x:f>
        <x:v>6233.710032311768</x:v>
      </x:c>
      <x:c r="C60" s="459" t="n">
        <x:f>'Learning Capital &amp; ROI'!$C$26</x:f>
        <x:v>10681.574885879425</x:v>
      </x:c>
      <x:c r="D60" s="339" t="str">
        <x:v>NZD/person</x:v>
      </x:c>
      <x:c r="E60" s="339" t="str">
        <x:v>Investment scenario</x:v>
      </x:c>
      <x:c r="F60" s="339" t="str">
        <x:v>Alternative view of the same protected asset</x:v>
      </x:c>
      <x:c r="G60" s="339" t="str">
        <x:v>Student outcome</x:v>
      </x:c>
      <x:c r="H60" s="339" t="str">
        <x:v>Returns are uncertain.</x:v>
      </x:c>
      <x:c r="I60" s="339"/>
      <x:c r="J60" s="339"/>
      <x:c r="K60" s="339"/>
      <x:c r="L60" s="339"/>
      <x:c r="M60" s="339"/>
      <x:c r="N60" s="339"/>
      <x:c r="O60" s="339"/>
      <x:c r="P60" s="339"/>
      <x:c r="Q60" s="339"/>
      <x:c r="R60" s="339"/>
      <x:c r="S60" s="339"/>
      <x:c r="T60" s="339"/>
      <x:c r="U60" s="1194"/>
      <x:c r="V60" s="1194"/>
      <x:c r="W60" s="1194"/>
      <x:c r="X60" s="1194"/>
      <x:c r="Y60" s="339"/>
      <x:c r="Z60" s="339"/>
    </x:row>
    <x:row r="61">
      <x:c r="A61" s="339" t="str">
        <x:v>Student: potential student-loan principal displaced</x:v>
      </x:c>
      <x:c r="B61" s="459" t="n">
        <x:f>(MIN('Learning Capital &amp; ROI'!$H$44,Assumptions!$E$64)*(Assumptions!$E$70+Assumptions!$E$71)*Assumptions!$E$72)*Assumptions!$E$73*Assumptions!$E$74</x:f>
        <x:v>1603.8089171131717</x:v>
      </x:c>
      <x:c r="C61" s="459" t="n">
        <x:f>'Learning Capital &amp; ROI'!$C$104</x:f>
        <x:v>2748.155586639059</x:v>
      </x:c>
      <x:c r="D61" s="339" t="str">
        <x:v>NZD/person</x:v>
      </x:c>
      <x:c r="E61" s="339" t="str">
        <x:v>Counterfactual scenario</x:v>
      </x:c>
      <x:c r="F61" s="339" t="str">
        <x:v>Do not add to the account balance</x:v>
      </x:c>
      <x:c r="G61" s="339" t="str">
        <x:v>Student outcome</x:v>
      </x:c>
      <x:c r="H61" s="339" t="str">
        <x:v>Expected borrowing replacement, not guaranteed debt elimination.</x:v>
      </x:c>
      <x:c r="I61" s="339"/>
      <x:c r="J61" s="339"/>
      <x:c r="K61" s="339"/>
      <x:c r="L61" s="339"/>
      <x:c r="M61" s="339"/>
      <x:c r="N61" s="339"/>
      <x:c r="O61" s="339"/>
      <x:c r="P61" s="339"/>
      <x:c r="Q61" s="339"/>
      <x:c r="R61" s="339"/>
      <x:c r="S61" s="339"/>
      <x:c r="T61" s="339"/>
      <x:c r="U61" s="1194"/>
      <x:c r="V61" s="1194"/>
      <x:c r="W61" s="1194"/>
      <x:c r="X61" s="1194"/>
      <x:c r="Y61" s="339"/>
      <x:c r="Z61" s="339"/>
    </x:row>
    <x:row r="62">
      <x:c r="A62" s="339" t="str">
        <x:v>Student: real closing Learning Capital balance</x:v>
      </x:c>
      <x:c r="B62" s="459" t="n">
        <x:f>'Learning Capital &amp; ROI'!$H$44/((1+Assumptions!$E$94)*(1+Assumptions!$E$95)*(1+Assumptions!$E$96))</x:f>
        <x:v>5807.907587965269</x:v>
      </x:c>
      <x:c r="C62" s="459" t="n">
        <x:f>'Learning Capital &amp; ROI'!$C$29</x:f>
        <x:v>9559.88837804382</x:v>
      </x:c>
      <x:c r="D62" s="339" t="str">
        <x:v>NZD 2026</x:v>
      </x:c>
      <x:c r="E62" s="339" t="str">
        <x:v>Treasury CPI curve</x:v>
      </x:c>
      <x:c r="F62" s="339" t="str">
        <x:v>Alternative purchasing-power view</x:v>
      </x:c>
      <x:c r="G62" s="339" t="str">
        <x:v>Student outcome</x:v>
      </x:c>
      <x:c r="H62" s="339" t="str">
        <x:v>Inflation-adjusted participant asset.</x:v>
      </x:c>
      <x:c r="I62" s="339"/>
      <x:c r="J62" s="339"/>
      <x:c r="K62" s="339"/>
      <x:c r="L62" s="339"/>
      <x:c r="M62" s="339"/>
      <x:c r="N62" s="339"/>
      <x:c r="O62" s="339"/>
      <x:c r="P62" s="339"/>
      <x:c r="Q62" s="339"/>
      <x:c r="R62" s="339"/>
      <x:c r="S62" s="339"/>
      <x:c r="T62" s="339"/>
      <x:c r="U62" s="1194"/>
      <x:c r="V62" s="1194"/>
      <x:c r="W62" s="1194"/>
      <x:c r="X62" s="1194"/>
      <x:c r="Y62" s="339"/>
      <x:c r="Z62" s="339"/>
    </x:row>
    <x:row r="63">
      <x:c r="A63" s="339" t="str">
        <x:v>Crown: gross official fair-value cost avoided</x:v>
      </x:c>
      <x:c r="B63" s="459" t="n">
        <x:f>(((MIN('Learning Capital &amp; ROI'!$H$44,Assumptions!$E$64)*(Assumptions!$E$70+Assumptions!$E$71)*Assumptions!$E$72)*Assumptions!$E$73*Assumptions!$E$74)*Assumptions!$E$80)*Assumptions!$E$17</x:f>
        <x:v>2306405.52752211</x:v>
      </x:c>
      <x:c r="C63" s="459" t="n">
        <x:f>'Learning Capital &amp; ROI'!$C$105*(Assumptions!$E$32/Assumptions!$E$33)</x:f>
        <x:v>58668066.92728407</x:v>
      </x:c>
      <x:c r="D63" s="339" t="str">
        <x:v>NZD/cohort</x:v>
      </x:c>
      <x:c r="E63" s="339" t="str">
        <x:v>Official rate × displaced lending</x:v>
      </x:c>
      <x:c r="F63" s="339" t="str">
        <x:v>Additive only once</x:v>
      </x:c>
      <x:c r="G63" s="339" t="str">
        <x:v>Crown fiscal outcome</x:v>
      </x:c>
      <x:c r="H63" s="339" t="str">
        <x:v>Central origination measure.</x:v>
      </x:c>
      <x:c r="I63" s="339"/>
      <x:c r="J63" s="339"/>
      <x:c r="K63" s="339"/>
      <x:c r="L63" s="339"/>
      <x:c r="M63" s="339"/>
      <x:c r="N63" s="339"/>
      <x:c r="O63" s="339"/>
      <x:c r="P63" s="339"/>
      <x:c r="Q63" s="339"/>
      <x:c r="R63" s="339"/>
      <x:c r="S63" s="339"/>
      <x:c r="T63" s="339"/>
      <x:c r="U63" s="1194"/>
      <x:c r="V63" s="1194"/>
      <x:c r="W63" s="1194"/>
      <x:c r="X63" s="1194"/>
      <x:c r="Y63" s="339"/>
      <x:c r="Z63" s="339"/>
    </x:row>
    <x:row r="64">
      <x:c r="A64" s="617" t="str">
        <x:v>Crown: net Learning Capital fiscal offset</x:v>
      </x:c>
      <x:c r="B64" s="618" t="n">
        <x:f>((((MIN('Learning Capital &amp; ROI'!$H$44,Assumptions!$E$64)*(Assumptions!$E$70+Assumptions!$E$71)*Assumptions!$E$72)*Assumptions!$E$73*Assumptions!$E$74)*Assumptions!$E$80)-(Assumptions!$E$63*3)-((Assumptions!$E$70+Assumptions!$E$71)*Assumptions!$E$76*Assumptions!$E$89))*Assumptions!$E$17</x:f>
        <x:v>-259794.47247789</x:v>
      </x:c>
      <x:c r="C64" s="618" t="n">
        <x:f>'Cohort Bridge'!$D$30</x:f>
        <x:v>5827697.152598478</x:v>
      </x:c>
      <x:c r="D64" s="617" t="str">
        <x:v>NZD/cohort</x:v>
      </x:c>
      <x:c r="E64" s="617" t="str">
        <x:v>Scenario after administration and induced-study cost</x:v>
      </x:c>
      <x:c r="F64" s="617" t="str">
        <x:v>Additive only once</x:v>
      </x:c>
      <x:c r="G64" s="617" t="str">
        <x:v>Crown fiscal outcome</x:v>
      </x:c>
      <x:c r="H64" s="617" t="str">
        <x:v>The fiscal effect arises after approved withdrawals and is not netted against programme-payment cash expenditure.</x:v>
      </x:c>
      <x:c r="I64" s="339"/>
      <x:c r="J64" s="339"/>
      <x:c r="K64" s="339"/>
      <x:c r="L64" s="339"/>
      <x:c r="M64" s="339"/>
      <x:c r="N64" s="339"/>
      <x:c r="O64" s="339"/>
      <x:c r="P64" s="339"/>
      <x:c r="Q64" s="339"/>
      <x:c r="R64" s="339"/>
      <x:c r="S64" s="339"/>
      <x:c r="T64" s="339"/>
      <x:c r="U64" s="1194"/>
      <x:c r="V64" s="1194"/>
      <x:c r="W64" s="1194"/>
      <x:c r="X64" s="1194"/>
      <x:c r="Y64" s="339"/>
      <x:c r="Z64" s="339"/>
    </x:row>
    <x:row r="65">
      <x:c r="A65" s="339" t="str">
        <x:v>Evidence-based social BCR</x:v>
      </x:c>
      <x:c r="B65" s="616" t="n">
        <x:f>B27</x:f>
        <x:v>0.04563906962418385</x:v>
      </x:c>
      <x:c r="C65" s="616" t="n">
        <x:f>C27</x:f>
        <x:v>0.025991563264118223</x:v>
      </x:c>
      <x:c r="D65" s="339" t="str">
        <x:v>x</x:v>
      </x:c>
      <x:c r="E65" s="339" t="str">
        <x:v>NZ short-term Pacheco–Dye value</x:v>
      </x:c>
      <x:c r="F65" s="339" t="str">
        <x:v>Excludes unproven whole-cohort effects</x:v>
      </x:c>
      <x:c r="G65" s="339" t="str">
        <x:v>Social outcome</x:v>
      </x:c>
      <x:c r="H65" s="339" t="str">
        <x:v>Conservative evidence case.</x:v>
      </x:c>
      <x:c r="I65" s="339"/>
      <x:c r="J65" s="339"/>
      <x:c r="K65" s="339"/>
      <x:c r="L65" s="339"/>
      <x:c r="M65" s="339"/>
      <x:c r="N65" s="339"/>
      <x:c r="O65" s="339"/>
      <x:c r="P65" s="339"/>
      <x:c r="Q65" s="339"/>
      <x:c r="R65" s="339"/>
      <x:c r="S65" s="339"/>
      <x:c r="T65" s="339"/>
      <x:c r="U65" s="1194"/>
      <x:c r="V65" s="1194"/>
      <x:c r="W65" s="1194"/>
      <x:c r="X65" s="1194"/>
      <x:c r="Y65" s="339"/>
      <x:c r="Z65" s="339"/>
    </x:row>
    <x:row r="66">
      <x:c r="A66" s="339" t="str">
        <x:v>Illustrative lifetime social BCR</x:v>
      </x:c>
      <x:c r="B66" s="616" t="n">
        <x:f>B29</x:f>
        <x:v>0.4381350683921649</x:v>
      </x:c>
      <x:c r="C66" s="616" t="n">
        <x:f>C29</x:f>
        <x:v>0.24951900733553492</x:v>
      </x:c>
      <x:c r="D66" s="339" t="str">
        <x:v>x</x:v>
      </x:c>
      <x:c r="E66" s="339" t="str">
        <x:v>UK-derived multiplier sensitivity</x:v>
      </x:c>
      <x:c r="F66" s="339" t="str">
        <x:v>Low-confidence sensitivity</x:v>
      </x:c>
      <x:c r="G66" s="339" t="str">
        <x:v>Social outcome</x:v>
      </x:c>
      <x:c r="H66" s="339" t="str">
        <x:v>Not a forecast.</x:v>
      </x:c>
      <x:c r="I66" s="339"/>
      <x:c r="J66" s="339"/>
      <x:c r="K66" s="339"/>
      <x:c r="L66" s="339"/>
      <x:c r="M66" s="339"/>
      <x:c r="N66" s="339"/>
      <x:c r="O66" s="339"/>
      <x:c r="P66" s="339"/>
      <x:c r="Q66" s="339"/>
      <x:c r="R66" s="339"/>
      <x:c r="S66" s="339"/>
      <x:c r="T66" s="339"/>
      <x:c r="U66" s="1194"/>
      <x:c r="V66" s="1194"/>
      <x:c r="W66" s="1194"/>
      <x:c r="X66" s="1194"/>
      <x:c r="Y66" s="339"/>
      <x:c r="Z66" s="339"/>
    </x:row>
    <x:row r="67">
      <x:c r="A67" s="619" t="str">
        <x:v>Expanded social-investment sensitivity</x:v>
      </x:c>
      <x:c r="B67" s="620" t="n">
        <x:f>(B24+B64)/B26</x:f>
        <x:v>0.43547269340089</x:v>
      </x:c>
      <x:c r="C67" s="620" t="n">
        <x:f>(C24+C64)/C26</x:f>
        <x:v>0.25333759922376436</x:v>
      </x:c>
      <x:c r="D67" s="619" t="str">
        <x:v>x</x:v>
      </x:c>
      <x:c r="E67" s="619" t="str">
        <x:v>Lifetime sensitivity + net Learning Capital fiscal offset</x:v>
      </x:c>
      <x:c r="F67" s="619" t="str">
        <x:v>Controls overlap</x:v>
      </x:c>
      <x:c r="G67" s="619" t="str">
        <x:v>Social sensitivity</x:v>
      </x:c>
      <x:c r="H67" s="619" t="str">
        <x:v>Excludes justice and unproven earnings uplift.</x:v>
      </x:c>
      <x:c r="I67" s="339"/>
      <x:c r="J67" s="339"/>
      <x:c r="K67" s="339"/>
      <x:c r="L67" s="339"/>
      <x:c r="M67" s="339"/>
      <x:c r="N67" s="339"/>
      <x:c r="O67" s="339"/>
      <x:c r="P67" s="339"/>
      <x:c r="Q67" s="339"/>
      <x:c r="R67" s="339"/>
      <x:c r="S67" s="339"/>
      <x:c r="T67" s="339"/>
      <x:c r="U67" s="1194"/>
      <x:c r="V67" s="1194"/>
      <x:c r="W67" s="1194"/>
      <x:c r="X67" s="1194"/>
      <x:c r="Y67" s="339"/>
      <x:c r="Z67" s="339"/>
    </x:row>
    <x:row r="68">
      <x:c r="A68" s="619" t="str">
        <x:v>Justice sensitivity — 1% prisoner-year case</x:v>
      </x:c>
      <x:c r="B68" s="621" t="n">
        <x:f>'Justice Sensitivity'!$G$7*(Assumptions!$E$17/(Assumptions!$E$32/Assumptions!$E$33))</x:f>
        <x:v>199725.75</x:v>
      </x:c>
      <x:c r="C68" s="621" t="n">
        <x:f>'Justice Sensitivity'!$G$7</x:f>
        <x:v>2964909.73725</x:v>
      </x:c>
      <x:c r="D68" s="619" t="str">
        <x:v>NZD</x:v>
      </x:c>
      <x:c r="E68" s="619" t="str">
        <x:v>Illustrative only</x:v>
      </x:c>
      <x:c r="F68" s="619" t="str">
        <x:v>Separate, non-cashable sensitivity</x:v>
      </x:c>
      <x:c r="G68" s="619" t="str">
        <x:v>Justice sensitivity</x:v>
      </x:c>
      <x:c r="H68" s="619" t="str">
        <x:v>Not included in headline BCR.</x:v>
      </x:c>
      <x:c r="I68" s="339"/>
      <x:c r="J68" s="339"/>
      <x:c r="K68" s="339"/>
      <x:c r="L68" s="339"/>
      <x:c r="M68" s="339"/>
      <x:c r="N68" s="339"/>
      <x:c r="O68" s="339"/>
      <x:c r="P68" s="339"/>
      <x:c r="Q68" s="339"/>
      <x:c r="R68" s="339"/>
      <x:c r="S68" s="339"/>
      <x:c r="T68" s="339"/>
      <x:c r="U68" s="1194"/>
      <x:c r="V68" s="1194"/>
      <x:c r="W68" s="1194"/>
      <x:c r="X68" s="1194"/>
      <x:c r="Y68" s="339"/>
      <x:c r="Z68" s="339"/>
    </x:row>
    <x:row r="69">
      <x:c r="A69" s="619" t="str">
        <x:v>Expanded sensitivity incl. 1% justice</x:v>
      </x:c>
      <x:c r="B69" s="620" t="n">
        <x:f>(B24+B64+B68)/B26</x:f>
        <x:v>0.43751948383812256</x:v>
      </x:c>
      <x:c r="C69" s="620" t="n">
        <x:f>(C24+C64+C68)/C26</x:f>
        <x:v>0.2552803529351419</x:v>
      </x:c>
      <x:c r="D69" s="619" t="str">
        <x:v>x</x:v>
      </x:c>
      <x:c r="E69" s="619" t="str">
        <x:v>Expanded sensitivity + justice resource value</x:v>
      </x:c>
      <x:c r="F69" s="619" t="str">
        <x:v>Illustrative only</x:v>
      </x:c>
      <x:c r="G69" s="619" t="str">
        <x:v>Social sensitivity</x:v>
      </x:c>
      <x:c r="H69" s="619" t="str">
        <x:v>Still not an evidence-based forecast.</x:v>
      </x:c>
      <x:c r="I69" s="339"/>
      <x:c r="J69" s="339"/>
      <x:c r="K69" s="339"/>
      <x:c r="L69" s="339"/>
      <x:c r="M69" s="339"/>
      <x:c r="N69" s="339"/>
      <x:c r="O69" s="339"/>
      <x:c r="P69" s="339"/>
      <x:c r="Q69" s="339"/>
      <x:c r="R69" s="339"/>
      <x:c r="S69" s="339"/>
      <x:c r="T69" s="339"/>
      <x:c r="U69" s="1194"/>
      <x:c r="V69" s="1194"/>
      <x:c r="W69" s="1194"/>
      <x:c r="X69" s="1194"/>
      <x:c r="Y69" s="339"/>
      <x:c r="Z69" s="339"/>
    </x:row>
    <x:row r="70">
      <x:c r="A70" s="339"/>
      <x:c r="B70" s="339"/>
      <x:c r="C70" s="339"/>
      <x:c r="D70" s="339"/>
      <x:c r="E70" s="339"/>
      <x:c r="F70" s="339"/>
      <x:c r="G70" s="339"/>
      <x:c r="H70" s="339"/>
      <x:c r="I70" s="339"/>
      <x:c r="J70" s="339"/>
      <x:c r="K70" s="339"/>
      <x:c r="L70" s="339"/>
      <x:c r="M70" s="339"/>
      <x:c r="N70" s="339"/>
      <x:c r="O70" s="339"/>
      <x:c r="P70" s="339"/>
      <x:c r="Q70" s="339"/>
      <x:c r="R70" s="339"/>
      <x:c r="S70" s="339"/>
      <x:c r="T70" s="339"/>
      <x:c r="U70" s="1194"/>
      <x:c r="V70" s="1194"/>
      <x:c r="W70" s="1194"/>
      <x:c r="X70" s="1194"/>
      <x:c r="Y70" s="339"/>
      <x:c r="Z70" s="339"/>
    </x:row>
    <x:row r="71" ht="22" customHeight="1">
      <x:c r="A71" s="506" t="str">
        <x:v>Benefit overlap matrix</x:v>
      </x:c>
      <x:c r="B71" s="506" t="str">
        <x:v>Benefit overlap matrix</x:v>
      </x:c>
      <x:c r="C71" s="506" t="str">
        <x:v>Benefit overlap matrix</x:v>
      </x:c>
      <x:c r="D71" s="506" t="str">
        <x:v>Benefit overlap matrix</x:v>
      </x:c>
      <x:c r="E71" s="506" t="str">
        <x:v>Benefit overlap matrix</x:v>
      </x:c>
      <x:c r="F71" s="506" t="str">
        <x:v>Benefit overlap matrix</x:v>
      </x:c>
      <x:c r="G71" s="506" t="str">
        <x:v>Benefit overlap matrix</x:v>
      </x:c>
      <x:c r="H71" s="506" t="str">
        <x:v>Benefit overlap matrix</x:v>
      </x:c>
      <x:c r="I71" s="339"/>
      <x:c r="J71" s="339"/>
      <x:c r="K71" s="339"/>
      <x:c r="L71" s="339"/>
      <x:c r="M71" s="339"/>
      <x:c r="N71" s="339"/>
      <x:c r="O71" s="339"/>
      <x:c r="P71" s="339"/>
      <x:c r="Q71" s="339"/>
      <x:c r="R71" s="339"/>
      <x:c r="S71" s="339"/>
      <x:c r="T71" s="339"/>
      <x:c r="U71" s="1194"/>
      <x:c r="V71" s="1194"/>
      <x:c r="W71" s="1194"/>
      <x:c r="X71" s="1194"/>
      <x:c r="Y71" s="339"/>
      <x:c r="Z71" s="339"/>
    </x:row>
    <x:row r="72" ht="28" customHeight="1">
      <x:c r="A72" s="527" t="str">
        <x:v>Benefit or value</x:v>
      </x:c>
      <x:c r="B72" s="527" t="str">
        <x:v>Student view</x:v>
      </x:c>
      <x:c r="C72" s="527" t="str">
        <x:v>Crown view</x:v>
      </x:c>
      <x:c r="D72" s="527" t="str">
        <x:v>Social view</x:v>
      </x:c>
      <x:c r="E72" s="527" t="str">
        <x:v>Overlap classification</x:v>
      </x:c>
      <x:c r="F72" s="527" t="str">
        <x:v>Central treatment</x:v>
      </x:c>
      <x:c r="G72" s="527" t="str">
        <x:v>Evidence requirement</x:v>
      </x:c>
      <x:c r="H72" s="527" t="str">
        <x:v>Reason</x:v>
      </x:c>
      <x:c r="I72" s="339"/>
      <x:c r="J72" s="339"/>
      <x:c r="K72" s="339"/>
      <x:c r="L72" s="339"/>
      <x:c r="M72" s="339"/>
      <x:c r="N72" s="339"/>
      <x:c r="O72" s="339"/>
      <x:c r="P72" s="339"/>
      <x:c r="Q72" s="339"/>
      <x:c r="R72" s="339"/>
      <x:c r="S72" s="339"/>
      <x:c r="T72" s="339"/>
      <x:c r="U72" s="1194"/>
      <x:c r="V72" s="1194"/>
      <x:c r="W72" s="1194"/>
      <x:c r="X72" s="1194"/>
      <x:c r="Y72" s="339"/>
      <x:c r="Z72" s="339"/>
    </x:row>
    <x:row r="73">
      <x:c r="A73" s="496" t="str">
        <x:v>Learning Capital closing balance</x:v>
      </x:c>
      <x:c r="B73" s="496" t="str">
        <x:v>Yes</x:v>
      </x:c>
      <x:c r="C73" s="496" t="str">
        <x:v>No</x:v>
      </x:c>
      <x:c r="D73" s="496" t="str">
        <x:v>Not as principal</x:v>
      </x:c>
      <x:c r="E73" s="496" t="str">
        <x:v>Alternative perspective</x:v>
      </x:c>
      <x:c r="F73" s="496" t="str">
        <x:v>Student outcome only</x:v>
      </x:c>
      <x:c r="G73" s="496" t="str">
        <x:v>Provider statements</x:v>
      </x:c>
      <x:c r="H73" s="496" t="str">
        <x:v>Same protected asset later used for approved costs.</x:v>
      </x:c>
      <x:c r="I73" s="339"/>
      <x:c r="J73" s="339"/>
      <x:c r="K73" s="339"/>
      <x:c r="L73" s="339"/>
      <x:c r="M73" s="339"/>
      <x:c r="N73" s="339"/>
      <x:c r="O73" s="339"/>
      <x:c r="P73" s="339"/>
      <x:c r="Q73" s="339"/>
      <x:c r="R73" s="339"/>
      <x:c r="S73" s="339"/>
      <x:c r="T73" s="339"/>
      <x:c r="U73" s="1194"/>
      <x:c r="V73" s="1194"/>
      <x:c r="W73" s="1194"/>
      <x:c r="X73" s="1194"/>
      <x:c r="Y73" s="339"/>
      <x:c r="Z73" s="339"/>
    </x:row>
    <x:row r="74">
      <x:c r="A74" s="28" t="str">
        <x:v>Approved education costs paid</x:v>
      </x:c>
      <x:c r="B74" s="28" t="str">
        <x:v>Yes</x:v>
      </x:c>
      <x:c r="C74" s="28" t="str">
        <x:v>No</x:v>
      </x:c>
      <x:c r="D74" s="28" t="str">
        <x:v>Not as additional principal</x:v>
      </x:c>
      <x:c r="E74" s="28" t="str">
        <x:v>Alternative perspective</x:v>
      </x:c>
      <x:c r="F74" s="28" t="str">
        <x:v>Student outcome only</x:v>
      </x:c>
      <x:c r="G74" s="28" t="str">
        <x:v>Withdrawal records</x:v>
      </x:c>
      <x:c r="H74" s="28" t="str">
        <x:v>Use of the account balance.</x:v>
      </x:c>
      <x:c r="I74" s="339"/>
      <x:c r="J74" s="339"/>
      <x:c r="K74" s="339"/>
      <x:c r="L74" s="339"/>
      <x:c r="M74" s="339"/>
      <x:c r="N74" s="339"/>
      <x:c r="O74" s="339"/>
      <x:c r="P74" s="339"/>
      <x:c r="Q74" s="339"/>
      <x:c r="R74" s="339"/>
      <x:c r="S74" s="339"/>
      <x:c r="T74" s="339"/>
      <x:c r="U74" s="1194"/>
      <x:c r="V74" s="1194"/>
      <x:c r="W74" s="1194"/>
      <x:c r="X74" s="1194"/>
      <x:c r="Y74" s="339"/>
      <x:c r="Z74" s="339"/>
    </x:row>
    <x:row r="75">
      <x:c r="A75" s="28" t="str">
        <x:v>Student debt avoided</x:v>
      </x:c>
      <x:c r="B75" s="28" t="str">
        <x:v>Yes</x:v>
      </x:c>
      <x:c r="C75" s="28" t="str">
        <x:v>No</x:v>
      </x:c>
      <x:c r="D75" s="28" t="str">
        <x:v>No separate social addition</x:v>
      </x:c>
      <x:c r="E75" s="28" t="str">
        <x:v>Alternative perspective</x:v>
      </x:c>
      <x:c r="F75" s="28" t="str">
        <x:v>Student outcome only</x:v>
      </x:c>
      <x:c r="G75" s="28" t="str">
        <x:v>Counterfactual borrowing</x:v>
      </x:c>
      <x:c r="H75" s="28" t="str">
        <x:v>Same resource replacing a liability.</x:v>
      </x:c>
      <x:c r="I75" s="339"/>
      <x:c r="J75" s="339"/>
      <x:c r="K75" s="339"/>
      <x:c r="L75" s="339"/>
      <x:c r="M75" s="339"/>
      <x:c r="N75" s="339"/>
      <x:c r="O75" s="339"/>
      <x:c r="P75" s="339"/>
      <x:c r="Q75" s="339"/>
      <x:c r="R75" s="339"/>
      <x:c r="S75" s="339"/>
      <x:c r="T75" s="339"/>
      <x:c r="U75" s="1194"/>
      <x:c r="V75" s="1194"/>
      <x:c r="W75" s="1194"/>
      <x:c r="X75" s="1194"/>
      <x:c r="Y75" s="339"/>
      <x:c r="Z75" s="339"/>
    </x:row>
    <x:row r="76">
      <x:c r="A76" s="28" t="str">
        <x:v>Gross Crown lending avoided</x:v>
      </x:c>
      <x:c r="B76" s="28" t="str">
        <x:v>No</x:v>
      </x:c>
      <x:c r="C76" s="28" t="str">
        <x:v>Gross cash-flow view</x:v>
      </x:c>
      <x:c r="D76" s="28" t="str">
        <x:v>No</x:v>
      </x:c>
      <x:c r="E76" s="28" t="str">
        <x:v>Partially overlapping</x:v>
      </x:c>
      <x:c r="F76" s="28" t="str">
        <x:v>Not treated as net saving</x:v>
      </x:c>
      <x:c r="G76" s="28" t="str">
        <x:v>StudyLink data</x:v>
      </x:c>
      <x:c r="H76" s="28" t="str">
        <x:v>Crown also forgoes repayments.</x:v>
      </x:c>
      <x:c r="I76" s="339"/>
      <x:c r="J76" s="339"/>
      <x:c r="K76" s="339"/>
      <x:c r="L76" s="339"/>
      <x:c r="M76" s="339"/>
      <x:c r="N76" s="339"/>
      <x:c r="O76" s="339"/>
      <x:c r="P76" s="339"/>
      <x:c r="Q76" s="339"/>
      <x:c r="R76" s="339"/>
      <x:c r="S76" s="339"/>
      <x:c r="T76" s="339"/>
      <x:c r="U76" s="1194"/>
      <x:c r="V76" s="1194"/>
      <x:c r="W76" s="1194"/>
      <x:c r="X76" s="1194"/>
      <x:c r="Y76" s="339"/>
      <x:c r="Z76" s="339"/>
    </x:row>
    <x:row r="77">
      <x:c r="A77" s="28" t="str">
        <x:v>Initial fair-value cost avoided</x:v>
      </x:c>
      <x:c r="B77" s="28" t="str">
        <x:v>No</x:v>
      </x:c>
      <x:c r="C77" s="28" t="str">
        <x:v>Yes</x:v>
      </x:c>
      <x:c r="D77" s="28" t="str">
        <x:v>Potential fiscal-efficiency component</x:v>
      </x:c>
      <x:c r="E77" s="28" t="str">
        <x:v>Independently additive once</x:v>
      </x:c>
      <x:c r="F77" s="28" t="str">
        <x:v>Central Crown measure</x:v>
      </x:c>
      <x:c r="G77" s="28" t="str">
        <x:v>Official actuarial method</x:v>
      </x:c>
      <x:c r="H77" s="28" t="str">
        <x:v>Expected lifetime cost avoided at origination.</x:v>
      </x:c>
      <x:c r="I77" s="339"/>
      <x:c r="J77" s="339"/>
      <x:c r="K77" s="339"/>
      <x:c r="L77" s="339"/>
      <x:c r="M77" s="339"/>
      <x:c r="N77" s="339"/>
      <x:c r="O77" s="339"/>
      <x:c r="P77" s="339"/>
      <x:c r="Q77" s="339"/>
      <x:c r="R77" s="339"/>
      <x:c r="S77" s="339"/>
      <x:c r="T77" s="339"/>
      <x:c r="U77" s="1194"/>
      <x:c r="V77" s="1194"/>
      <x:c r="W77" s="1194"/>
      <x:c r="X77" s="1194"/>
      <x:c r="Y77" s="339"/>
      <x:c r="Z77" s="339"/>
    </x:row>
    <x:row r="78">
      <x:c r="A78" s="28" t="str">
        <x:v>Cost of capital</x:v>
      </x:c>
      <x:c r="B78" s="28" t="str">
        <x:v>No</x:v>
      </x:c>
      <x:c r="C78" s="28" t="str">
        <x:v>Alternative view</x:v>
      </x:c>
      <x:c r="D78" s="28" t="str">
        <x:v>No separate addition</x:v>
      </x:c>
      <x:c r="E78" s="28" t="str">
        <x:v>Alternative perspective</x:v>
      </x:c>
      <x:c r="F78" s="28" t="str">
        <x:v>Disclosed only</x:v>
      </x:c>
      <x:c r="G78" s="28" t="str">
        <x:v>Official valuation</x:v>
      </x:c>
      <x:c r="H78" s="28" t="str">
        <x:v>Overlaps fair-value discounting.</x:v>
      </x:c>
      <x:c r="I78" s="339"/>
      <x:c r="J78" s="339"/>
      <x:c r="K78" s="339"/>
      <x:c r="L78" s="339"/>
      <x:c r="M78" s="339"/>
      <x:c r="N78" s="339"/>
      <x:c r="O78" s="339"/>
      <x:c r="P78" s="339"/>
      <x:c r="Q78" s="339"/>
      <x:c r="R78" s="339"/>
      <x:c r="S78" s="339"/>
      <x:c r="T78" s="339"/>
      <x:c r="U78" s="1194"/>
      <x:c r="V78" s="1194"/>
      <x:c r="W78" s="1194"/>
      <x:c r="X78" s="1194"/>
      <x:c r="Y78" s="339"/>
      <x:c r="Z78" s="339"/>
    </x:row>
    <x:row r="79">
      <x:c r="A79" s="28" t="str">
        <x:v>Inflation erosion</x:v>
      </x:c>
      <x:c r="B79" s="28" t="str">
        <x:v>Purchasing-power context</x:v>
      </x:c>
      <x:c r="C79" s="28" t="str">
        <x:v>Alternative view</x:v>
      </x:c>
      <x:c r="D79" s="28" t="str">
        <x:v>No separate addition</x:v>
      </x:c>
      <x:c r="E79" s="28" t="str">
        <x:v>Alternative perspective</x:v>
      </x:c>
      <x:c r="F79" s="28" t="str">
        <x:v>Disclosed only</x:v>
      </x:c>
      <x:c r="G79" s="28" t="str">
        <x:v>Treasury CPI curve</x:v>
      </x:c>
      <x:c r="H79" s="28" t="str">
        <x:v>Explains real-value loss but overlaps fair value.</x:v>
      </x:c>
      <x:c r="I79" s="339"/>
      <x:c r="J79" s="339"/>
      <x:c r="K79" s="339"/>
      <x:c r="L79" s="339"/>
      <x:c r="M79" s="339"/>
      <x:c r="N79" s="339"/>
      <x:c r="O79" s="339"/>
      <x:c r="P79" s="339"/>
      <x:c r="Q79" s="339"/>
      <x:c r="R79" s="339"/>
      <x:c r="S79" s="339"/>
      <x:c r="T79" s="339"/>
      <x:c r="U79" s="1194"/>
      <x:c r="V79" s="1194"/>
      <x:c r="W79" s="1194"/>
      <x:c r="X79" s="1194"/>
      <x:c r="Y79" s="339"/>
      <x:c r="Z79" s="339"/>
    </x:row>
    <x:row r="80">
      <x:c r="A80" s="28" t="str">
        <x:v>Investment earnings</x:v>
      </x:c>
      <x:c r="B80" s="28" t="str">
        <x:v>Yes</x:v>
      </x:c>
      <x:c r="C80" s="28" t="str">
        <x:v>No</x:v>
      </x:c>
      <x:c r="D80" s="28" t="str">
        <x:v>Not automatically free social value</x:v>
      </x:c>
      <x:c r="E80" s="28" t="str">
        <x:v>Partially overlapping</x:v>
      </x:c>
      <x:c r="F80" s="28" t="str">
        <x:v>Student outcome; excluded from social BCR</x:v>
      </x:c>
      <x:c r="G80" s="28" t="str">
        <x:v>Opportunity-cost analysis</x:v>
      </x:c>
      <x:c r="H80" s="28" t="str">
        <x:v>Public funds are committed to earn the return.</x:v>
      </x:c>
      <x:c r="I80" s="339"/>
      <x:c r="J80" s="339"/>
      <x:c r="K80" s="339"/>
      <x:c r="L80" s="339"/>
      <x:c r="M80" s="339"/>
      <x:c r="N80" s="339"/>
      <x:c r="O80" s="339"/>
      <x:c r="P80" s="339"/>
      <x:c r="Q80" s="339"/>
      <x:c r="R80" s="339"/>
      <x:c r="S80" s="339"/>
      <x:c r="T80" s="339"/>
      <x:c r="U80" s="1194"/>
      <x:c r="V80" s="1194"/>
      <x:c r="W80" s="1194"/>
      <x:c r="X80" s="1194"/>
      <x:c r="Y80" s="339"/>
      <x:c r="Z80" s="339"/>
    </x:row>
    <x:row r="81">
      <x:c r="A81" s="28" t="str">
        <x:v>Higher earnings</x:v>
      </x:c>
      <x:c r="B81" s="28" t="str">
        <x:v>Potential</x:v>
      </x:c>
      <x:c r="C81" s="28" t="str">
        <x:v>Tax effect possible</x:v>
      </x:c>
      <x:c r="D81" s="28" t="str">
        <x:v>Yes</x:v>
      </x:c>
      <x:c r="E81" s="28" t="str">
        <x:v>Partially overlapping</x:v>
      </x:c>
      <x:c r="F81" s="28" t="str">
        <x:v>Whole-cohort model excludes modelled averted sustained-NEET cases</x:v>
      </x:c>
      <x:c r="G81" s="28" t="str">
        <x:v>Pilot causal earnings evidence</x:v>
      </x:c>
      <x:c r="H81" s="28" t="str">
        <x:v>Qualification premiums are context only; the broad earnings stream is not stacked on Pacheco productivity.</x:v>
      </x:c>
      <x:c r="I81" s="339"/>
      <x:c r="J81" s="339"/>
      <x:c r="K81" s="339"/>
      <x:c r="L81" s="339"/>
      <x:c r="M81" s="339"/>
      <x:c r="N81" s="339"/>
      <x:c r="O81" s="339"/>
      <x:c r="P81" s="339"/>
      <x:c r="Q81" s="339"/>
      <x:c r="R81" s="339"/>
      <x:c r="S81" s="339"/>
      <x:c r="T81" s="339"/>
      <x:c r="U81" s="1194"/>
      <x:c r="V81" s="1194"/>
      <x:c r="W81" s="1194"/>
      <x:c r="X81" s="1194"/>
      <x:c r="Y81" s="339"/>
      <x:c r="Z81" s="339"/>
    </x:row>
    <x:row r="82">
      <x:c r="A82" s="28" t="str">
        <x:v>Increased tax</x:v>
      </x:c>
      <x:c r="B82" s="28" t="str">
        <x:v>No</x:v>
      </x:c>
      <x:c r="C82" s="28" t="str">
        <x:v>Potential</x:v>
      </x:c>
      <x:c r="D82" s="28" t="str">
        <x:v>Transfer within society</x:v>
      </x:c>
      <x:c r="E82" s="28" t="str">
        <x:v>Partially overlapping</x:v>
      </x:c>
      <x:c r="F82" s="28" t="str">
        <x:v>Crown fiscal view only</x:v>
      </x:c>
      <x:c r="G82" s="28" t="str">
        <x:v>Linked earnings and tax data</x:v>
      </x:c>
      <x:c r="H82" s="28" t="str">
        <x:v>Derived from incremental earnings through current tax and ACC rules; not added to social earnings.</x:v>
      </x:c>
      <x:c r="I82" s="339"/>
      <x:c r="J82" s="339"/>
      <x:c r="K82" s="339"/>
      <x:c r="L82" s="339"/>
      <x:c r="M82" s="339"/>
      <x:c r="N82" s="339"/>
      <x:c r="O82" s="339"/>
      <x:c r="P82" s="339"/>
      <x:c r="Q82" s="339"/>
      <x:c r="R82" s="339"/>
      <x:c r="S82" s="339"/>
      <x:c r="T82" s="339"/>
      <x:c r="U82" s="1194"/>
      <x:c r="V82" s="1194"/>
      <x:c r="W82" s="1194"/>
      <x:c r="X82" s="1194"/>
      <x:c r="Y82" s="339"/>
      <x:c r="Z82" s="339"/>
    </x:row>
    <x:row r="83">
      <x:c r="A83" s="28" t="str">
        <x:v>Reduced benefit reliance</x:v>
      </x:c>
      <x:c r="B83" s="28" t="str">
        <x:v>No</x:v>
      </x:c>
      <x:c r="C83" s="28" t="str">
        <x:v>Potential</x:v>
      </x:c>
      <x:c r="D83" s="28" t="str">
        <x:v>Potential</x:v>
      </x:c>
      <x:c r="E83" s="28" t="str">
        <x:v>Partially overlapping</x:v>
      </x:c>
      <x:c r="F83" s="28" t="str">
        <x:v>Broad non-NEET population only</x:v>
      </x:c>
      <x:c r="G83" s="28" t="str">
        <x:v>Linked benefit data</x:v>
      </x:c>
      <x:c r="H83" s="28" t="str">
        <x:v>Excludes modelled averted sustained-NEET cases and requires linked benefit evidence.</x:v>
      </x:c>
      <x:c r="I83" s="339"/>
      <x:c r="J83" s="339"/>
      <x:c r="K83" s="339"/>
      <x:c r="L83" s="339"/>
      <x:c r="M83" s="339"/>
      <x:c r="N83" s="339"/>
      <x:c r="O83" s="339"/>
      <x:c r="P83" s="339"/>
      <x:c r="Q83" s="339"/>
      <x:c r="R83" s="339"/>
      <x:c r="S83" s="339"/>
      <x:c r="T83" s="339"/>
      <x:c r="U83" s="1194"/>
      <x:c r="V83" s="1194"/>
      <x:c r="W83" s="1194"/>
      <x:c r="X83" s="1194"/>
      <x:c r="Y83" s="339"/>
      <x:c r="Z83" s="339"/>
    </x:row>
    <x:row r="84">
      <x:c r="A84" s="28" t="str">
        <x:v>Health and wellbeing</x:v>
      </x:c>
      <x:c r="B84" s="28" t="str">
        <x:v>Potential</x:v>
      </x:c>
      <x:c r="C84" s="28" t="str">
        <x:v>Potential service effect</x:v>
      </x:c>
      <x:c r="D84" s="28" t="str">
        <x:v>Yes</x:v>
      </x:c>
      <x:c r="E84" s="28" t="str">
        <x:v>Potentially additive</x:v>
      </x:c>
      <x:c r="F84" s="28" t="str">
        <x:v>Excluded pending causal evidence</x:v>
      </x:c>
      <x:c r="G84" s="28" t="str">
        <x:v>Causal health outcomes</x:v>
      </x:c>
      <x:c r="H84" s="28" t="str">
        <x:v>Health and service effects are potentially additional but no programme-specific causal effect is assumed.</x:v>
      </x:c>
      <x:c r="I84" s="339"/>
      <x:c r="J84" s="339"/>
      <x:c r="K84" s="339"/>
      <x:c r="L84" s="339"/>
      <x:c r="M84" s="339"/>
      <x:c r="N84" s="339"/>
      <x:c r="O84" s="339"/>
      <x:c r="P84" s="339"/>
      <x:c r="Q84" s="339"/>
      <x:c r="R84" s="339"/>
      <x:c r="S84" s="339"/>
      <x:c r="T84" s="339"/>
      <x:c r="U84" s="1194"/>
      <x:c r="V84" s="1194"/>
      <x:c r="W84" s="1194"/>
      <x:c r="X84" s="1194"/>
      <x:c r="Y84" s="339"/>
      <x:c r="Z84" s="339"/>
    </x:row>
    <x:row r="85">
      <x:c r="A85" s="28" t="str">
        <x:v>Unemployment distress</x:v>
      </x:c>
      <x:c r="B85" s="28" t="str">
        <x:v>Potential</x:v>
      </x:c>
      <x:c r="C85" s="28" t="str">
        <x:v>No</x:v>
      </x:c>
      <x:c r="D85" s="28" t="str">
        <x:v>Yes</x:v>
      </x:c>
      <x:c r="E85" s="28" t="str">
        <x:v>Partially overlapping</x:v>
      </x:c>
      <x:c r="F85" s="28" t="str">
        <x:v>Excluded pending causal evidence</x:v>
      </x:c>
      <x:c r="G85" s="28" t="str">
        <x:v>Duration and counterfactual</x:v>
      </x:c>
      <x:c r="H85" s="28" t="str">
        <x:v>Unemployment distress may overlap employment and earnings effects; duration and counterfactual evidence are required.</x:v>
      </x:c>
      <x:c r="I85" s="339"/>
      <x:c r="J85" s="339"/>
      <x:c r="K85" s="339"/>
      <x:c r="L85" s="339"/>
      <x:c r="M85" s="339"/>
      <x:c r="N85" s="339"/>
      <x:c r="O85" s="339"/>
      <x:c r="P85" s="339"/>
      <x:c r="Q85" s="339"/>
      <x:c r="R85" s="339"/>
      <x:c r="S85" s="339"/>
      <x:c r="T85" s="339"/>
      <x:c r="U85" s="1194"/>
      <x:c r="V85" s="1194"/>
      <x:c r="W85" s="1194"/>
      <x:c r="X85" s="1194"/>
      <x:c r="Y85" s="339"/>
      <x:c r="Z85" s="339"/>
    </x:row>
    <x:row r="86">
      <x:c r="A86" s="28" t="str">
        <x:v>Crime and victimisation</x:v>
      </x:c>
      <x:c r="B86" s="28" t="str">
        <x:v>Potential</x:v>
      </x:c>
      <x:c r="C86" s="28" t="str">
        <x:v>Potential</x:v>
      </x:c>
      <x:c r="D86" s="28" t="str">
        <x:v>Yes</x:v>
      </x:c>
      <x:c r="E86" s="28" t="str">
        <x:v>Partially overlapping</x:v>
      </x:c>
      <x:c r="F86" s="28" t="str">
        <x:v>Zero headline; framework only</x:v>
      </x:c>
      <x:c r="G86" s="28" t="str">
        <x:v>Offence mix and attribution</x:v>
      </x:c>
      <x:c r="H86" s="28" t="str">
        <x:v>Avoid overlap with prison and justice costs.</x:v>
      </x:c>
      <x:c r="I86" s="339"/>
      <x:c r="J86" s="339"/>
      <x:c r="K86" s="339"/>
      <x:c r="L86" s="339"/>
      <x:c r="M86" s="339"/>
      <x:c r="N86" s="339"/>
      <x:c r="O86" s="339"/>
      <x:c r="P86" s="339"/>
      <x:c r="Q86" s="339"/>
      <x:c r="R86" s="339"/>
      <x:c r="S86" s="339"/>
      <x:c r="T86" s="339"/>
      <x:c r="U86" s="1194"/>
      <x:c r="V86" s="1194"/>
      <x:c r="W86" s="1194"/>
      <x:c r="X86" s="1194"/>
      <x:c r="Y86" s="339"/>
      <x:c r="Z86" s="339"/>
    </x:row>
    <x:row r="87">
      <x:c r="A87" s="28" t="str">
        <x:v>Prison resource value</x:v>
      </x:c>
      <x:c r="B87" s="28" t="str">
        <x:v>No</x:v>
      </x:c>
      <x:c r="C87" s="28" t="str">
        <x:v>Potential resource value</x:v>
      </x:c>
      <x:c r="D87" s="28" t="str">
        <x:v>Potential</x:v>
      </x:c>
      <x:c r="E87" s="28" t="str">
        <x:v>Partially overlapping</x:v>
      </x:c>
      <x:c r="F87" s="28" t="str">
        <x:v>Separate sensitivity only</x:v>
      </x:c>
      <x:c r="G87" s="28" t="str">
        <x:v>Marginal cost and attribution</x:v>
      </x:c>
      <x:c r="H87" s="28" t="str">
        <x:v>Average cost is not necessarily cashable.</x:v>
      </x:c>
      <x:c r="I87" s="339"/>
      <x:c r="J87" s="339"/>
      <x:c r="K87" s="339"/>
      <x:c r="L87" s="339"/>
      <x:c r="M87" s="339"/>
      <x:c r="N87" s="339"/>
      <x:c r="O87" s="339"/>
      <x:c r="P87" s="339"/>
      <x:c r="Q87" s="339"/>
      <x:c r="R87" s="339"/>
      <x:c r="S87" s="339"/>
      <x:c r="T87" s="339"/>
      <x:c r="U87" s="1194"/>
      <x:c r="V87" s="1194"/>
      <x:c r="W87" s="1194"/>
      <x:c r="X87" s="1194"/>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1194"/>
      <x:c r="V88" s="1194"/>
      <x:c r="W88" s="1194"/>
      <x:c r="X88" s="1194"/>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1194"/>
      <x:c r="V89" s="1194"/>
      <x:c r="W89" s="1194"/>
      <x:c r="X89" s="1194"/>
      <x:c r="Y89" s="339"/>
      <x:c r="Z89" s="339"/>
    </x:row>
    <x:row r="90" ht="23" customHeight="1">
      <x:c r="A90" s="905" t="str">
        <x:v>Whole-cohort earnings and break-even outputs</x:v>
      </x:c>
      <x:c r="B90" s="905"/>
      <x:c r="C90" s="905"/>
      <x:c r="D90" s="905"/>
      <x:c r="E90" s="905"/>
      <x:c r="F90" s="905"/>
      <x:c r="G90" s="905"/>
      <x:c r="H90" s="905"/>
      <x:c r="I90" s="339"/>
      <x:c r="J90" s="339"/>
      <x:c r="K90" s="339"/>
      <x:c r="L90" s="339"/>
      <x:c r="M90" s="339"/>
      <x:c r="N90" s="339"/>
      <x:c r="O90" s="339"/>
      <x:c r="P90" s="339"/>
      <x:c r="Q90" s="339"/>
      <x:c r="R90" s="339"/>
      <x:c r="S90" s="339"/>
      <x:c r="T90" s="339"/>
      <x:c r="U90" s="1194"/>
      <x:c r="V90" s="1194"/>
      <x:c r="W90" s="1194"/>
      <x:c r="X90" s="1194"/>
      <x:c r="Y90" s="339"/>
      <x:c r="Z90" s="339"/>
    </x:row>
    <x:row r="91" ht="30" customHeight="1">
      <x:c r="A91" s="909" t="str">
        <x:v>Metric</x:v>
      </x:c>
      <x:c r="B91" s="909" t="str">
        <x:v>Pilot / targeted</x:v>
      </x:c>
      <x:c r="C91" s="909" t="str">
        <x:v>National mature</x:v>
      </x:c>
      <x:c r="D91" s="909" t="str">
        <x:v>Unit</x:v>
      </x:c>
      <x:c r="E91" s="909" t="str">
        <x:v>Discount rate</x:v>
      </x:c>
      <x:c r="F91" s="909" t="str">
        <x:v>Evidence status</x:v>
      </x:c>
      <x:c r="G91" s="909" t="str">
        <x:v>Headline inclusion</x:v>
      </x:c>
      <x:c r="H91" s="909" t="str">
        <x:v>Interpretation</x:v>
      </x:c>
      <x:c r="I91" s="339"/>
      <x:c r="J91" s="339"/>
      <x:c r="K91" s="339"/>
      <x:c r="L91" s="339"/>
      <x:c r="M91" s="339"/>
      <x:c r="N91" s="339"/>
      <x:c r="O91" s="339"/>
      <x:c r="P91" s="339"/>
      <x:c r="Q91" s="339"/>
      <x:c r="R91" s="339"/>
      <x:c r="S91" s="339"/>
      <x:c r="T91" s="339"/>
      <x:c r="U91" s="1194"/>
      <x:c r="V91" s="1194"/>
      <x:c r="W91" s="1194"/>
      <x:c r="X91" s="1194"/>
      <x:c r="Y91" s="339"/>
      <x:c r="Z91" s="339"/>
    </x:row>
    <x:row r="92">
      <x:c r="A92" s="28" t="str">
        <x:v>Whole-cohort earnings PV — 0.5%</x:v>
      </x:c>
      <x:c r="B92" s="344" t="n">
        <x:f>'Human Capital &amp; Earnings'!$G$114*0.005/1%</x:f>
        <x:v>5328991.850515305</x:v>
      </x:c>
      <x:c r="C92" s="344" t="n">
        <x:f>'Human Capital &amp; Earnings'!$D$98</x:f>
        <x:v>66951028.594514556</x:v>
      </x:c>
      <x:c r="D92" s="28" t="str">
        <x:v>NZD PV</x:v>
      </x:c>
      <x:c r="E92" s="28" t="str">
        <x:v>4% intermediate sensitivity</x:v>
      </x:c>
      <x:c r="F92" s="28" t="str">
        <x:v>Scenario only</x:v>
      </x:c>
      <x:c r="G92" s="28" t="str">
        <x:v>Sensitivity</x:v>
      </x:c>
      <x:c r="H92" s="28" t="str">
        <x:v>Small broad uplift.</x:v>
      </x:c>
      <x:c r="I92" s="339"/>
      <x:c r="J92" s="339"/>
      <x:c r="K92" s="339"/>
      <x:c r="L92" s="339"/>
      <x:c r="M92" s="339"/>
      <x:c r="N92" s="339"/>
      <x:c r="O92" s="339"/>
      <x:c r="P92" s="339"/>
      <x:c r="Q92" s="339"/>
      <x:c r="R92" s="339"/>
      <x:c r="S92" s="339"/>
      <x:c r="T92" s="339"/>
      <x:c r="U92" s="1194"/>
      <x:c r="V92" s="1194"/>
      <x:c r="W92" s="1194"/>
      <x:c r="X92" s="1194"/>
      <x:c r="Y92" s="339"/>
      <x:c r="Z92" s="339"/>
    </x:row>
    <x:row r="93">
      <x:c r="A93" s="28" t="str">
        <x:v>Whole-cohort earnings PV — 1.0%</x:v>
      </x:c>
      <x:c r="B93" s="344" t="n">
        <x:f>'Human Capital &amp; Earnings'!$G$114*0.01/1%</x:f>
        <x:v>10657983.70103061</x:v>
      </x:c>
      <x:c r="C93" s="344" t="n">
        <x:f>'Human Capital &amp; Earnings'!$D$99</x:f>
        <x:v>133902057.18902911</x:v>
      </x:c>
      <x:c r="D93" s="28" t="str">
        <x:v>NZD PV</x:v>
      </x:c>
      <x:c r="E93" s="28" t="str">
        <x:v>4% intermediate sensitivity</x:v>
      </x:c>
      <x:c r="F93" s="28" t="str">
        <x:v>Scenario only</x:v>
      </x:c>
      <x:c r="G93" s="28" t="str">
        <x:v>Sensitivity</x:v>
      </x:c>
      <x:c r="H93" s="28" t="str">
        <x:v>Not a forecast.</x:v>
      </x:c>
      <x:c r="I93" s="339"/>
      <x:c r="J93" s="339"/>
      <x:c r="K93" s="339"/>
      <x:c r="L93" s="339"/>
      <x:c r="M93" s="339"/>
      <x:c r="N93" s="339"/>
      <x:c r="O93" s="339"/>
      <x:c r="P93" s="339"/>
      <x:c r="Q93" s="339"/>
      <x:c r="R93" s="339"/>
      <x:c r="S93" s="339"/>
      <x:c r="T93" s="339"/>
      <x:c r="U93" s="1194"/>
      <x:c r="V93" s="1194"/>
      <x:c r="W93" s="1194"/>
      <x:c r="X93" s="1194"/>
      <x:c r="Y93" s="339"/>
      <x:c r="Z93" s="339"/>
    </x:row>
    <x:row r="94">
      <x:c r="A94" s="28" t="str">
        <x:v>Whole-cohort earnings PV — 3.0%</x:v>
      </x:c>
      <x:c r="B94" s="344" t="n">
        <x:f>'Human Capital &amp; Earnings'!$G$114*0.03/1%</x:f>
        <x:v>31973951.10309183</x:v>
      </x:c>
      <x:c r="C94" s="344" t="n">
        <x:f>'Human Capital &amp; Earnings'!$D$101</x:f>
        <x:v>401706171.56708735</x:v>
      </x:c>
      <x:c r="D94" s="28" t="str">
        <x:v>NZD PV</x:v>
      </x:c>
      <x:c r="E94" s="28" t="str">
        <x:v>4% intermediate sensitivity</x:v>
      </x:c>
      <x:c r="F94" s="28" t="str">
        <x:v>Scenario only</x:v>
      </x:c>
      <x:c r="G94" s="28" t="str">
        <x:v>Sensitivity</x:v>
      </x:c>
      <x:c r="H94" s="28" t="str">
        <x:v>Requires causal persistence.</x:v>
      </x:c>
      <x:c r="I94" s="339"/>
      <x:c r="J94" s="339"/>
      <x:c r="K94" s="339"/>
      <x:c r="L94" s="339"/>
      <x:c r="M94" s="339"/>
      <x:c r="N94" s="339"/>
      <x:c r="O94" s="339"/>
      <x:c r="P94" s="339"/>
      <x:c r="Q94" s="339"/>
      <x:c r="R94" s="339"/>
      <x:c r="S94" s="339"/>
      <x:c r="T94" s="339"/>
      <x:c r="U94" s="1194"/>
      <x:c r="V94" s="1194"/>
      <x:c r="W94" s="1194"/>
      <x:c r="X94" s="1194"/>
      <x:c r="Y94" s="339"/>
      <x:c r="Z94" s="339"/>
    </x:row>
    <x:row r="95">
      <x:c r="A95" s="28" t="str">
        <x:v>Whole-cohort earnings PV — 5.0%</x:v>
      </x:c>
      <x:c r="B95" s="344" t="n">
        <x:f>'Human Capital &amp; Earnings'!$G$114*0.05/1%</x:f>
        <x:v>53289918.505153045</x:v>
      </x:c>
      <x:c r="C95" s="344" t="n">
        <x:f>'Human Capital &amp; Earnings'!$D$102</x:f>
        <x:v>669510285.9451456</x:v>
      </x:c>
      <x:c r="D95" s="28" t="str">
        <x:v>NZD PV</x:v>
      </x:c>
      <x:c r="E95" s="28" t="str">
        <x:v>4% intermediate sensitivity</x:v>
      </x:c>
      <x:c r="F95" s="28" t="str">
        <x:v>Scenario only</x:v>
      </x:c>
      <x:c r="G95" s="28" t="str">
        <x:v>Sensitivity</x:v>
      </x:c>
      <x:c r="H95" s="28" t="str">
        <x:v>Still subject to labour-market haircuts.</x:v>
      </x:c>
      <x:c r="I95" s="339"/>
      <x:c r="J95" s="339"/>
      <x:c r="K95" s="339"/>
      <x:c r="L95" s="339"/>
      <x:c r="M95" s="339"/>
      <x:c r="N95" s="339"/>
      <x:c r="O95" s="339"/>
      <x:c r="P95" s="339"/>
      <x:c r="Q95" s="339"/>
      <x:c r="R95" s="339"/>
      <x:c r="S95" s="339"/>
      <x:c r="T95" s="339"/>
      <x:c r="U95" s="1194"/>
      <x:c r="V95" s="1194"/>
      <x:c r="W95" s="1194"/>
      <x:c r="X95" s="1194"/>
      <x:c r="Y95" s="339"/>
      <x:c r="Z95" s="339"/>
    </x:row>
    <x:row r="96">
      <x:c r="A96" s="28" t="str">
        <x:v>National social BCR — 1.0% earnings uplift</x:v>
      </x:c>
      <x:c r="B96" s="478" t="n">
        <x:f>('Human Capital &amp; Earnings'!$D$114+'Human Capital &amp; Earnings'!$G$114*1)/'Human Capital &amp; Earnings'!$C$114</x:f>
        <x:v>0.5446957611297619</x:v>
      </x:c>
      <x:c r="C96" s="478" t="n">
        <x:f>'Human Capital &amp; Earnings'!$K$99</x:f>
        <x:v>0.3410767689181383</x:v>
      </x:c>
      <x:c r="D96" s="28" t="str">
        <x:v>x</x:v>
      </x:c>
      <x:c r="E96" s="28" t="str">
        <x:v>4% intermediate sensitivity</x:v>
      </x:c>
      <x:c r="F96" s="28" t="str">
        <x:v>Scenario only</x:v>
      </x:c>
      <x:c r="G96" s="28" t="str">
        <x:v>Sensitivity</x:v>
      </x:c>
      <x:c r="H96" s="28" t="str">
        <x:v>Includes NEET and Learning Capital, not justice.</x:v>
      </x:c>
      <x:c r="I96" s="339"/>
      <x:c r="J96" s="339"/>
      <x:c r="K96" s="339"/>
      <x:c r="L96" s="339"/>
      <x:c r="M96" s="339"/>
      <x:c r="N96" s="339"/>
      <x:c r="O96" s="339"/>
      <x:c r="P96" s="339"/>
      <x:c r="Q96" s="339"/>
      <x:c r="R96" s="339"/>
      <x:c r="S96" s="339"/>
      <x:c r="T96" s="339"/>
      <x:c r="U96" s="1194"/>
      <x:c r="V96" s="1194"/>
      <x:c r="W96" s="1194"/>
      <x:c r="X96" s="1194"/>
      <x:c r="Y96" s="339"/>
      <x:c r="Z96" s="339"/>
    </x:row>
    <x:row r="97">
      <x:c r="A97" s="28" t="str">
        <x:v>National social BCR — 5.0% earnings uplift</x:v>
      </x:c>
      <x:c r="B97" s="478" t="n">
        <x:f>('Human Capital &amp; Earnings'!$D$114+'Human Capital &amp; Earnings'!$G$114*5)/'Human Capital &amp; Earnings'!$C$114</x:f>
        <x:v>0.9815880320452496</x:v>
      </x:c>
      <x:c r="C97" s="478" t="n">
        <x:f>'Human Capital &amp; Earnings'!$K$102</x:f>
        <x:v>0.6920334476956341</x:v>
      </x:c>
      <x:c r="D97" s="28" t="str">
        <x:v>x</x:v>
      </x:c>
      <x:c r="E97" s="28" t="str">
        <x:v>4% intermediate sensitivity</x:v>
      </x:c>
      <x:c r="F97" s="28" t="str">
        <x:v>Scenario only</x:v>
      </x:c>
      <x:c r="G97" s="28" t="str">
        <x:v>Sensitivity</x:v>
      </x:c>
      <x:c r="H97" s="28" t="str">
        <x:v>Tests whether a larger broad gain closes the gap.</x:v>
      </x:c>
      <x:c r="I97" s="339"/>
      <x:c r="J97" s="339"/>
      <x:c r="K97" s="339"/>
      <x:c r="L97" s="339"/>
      <x:c r="M97" s="339"/>
      <x:c r="N97" s="339"/>
      <x:c r="O97" s="339"/>
      <x:c r="P97" s="339"/>
      <x:c r="Q97" s="339"/>
      <x:c r="R97" s="339"/>
      <x:c r="S97" s="339"/>
      <x:c r="T97" s="339"/>
      <x:c r="U97" s="1194"/>
      <x:c r="V97" s="1194"/>
      <x:c r="W97" s="1194"/>
      <x:c r="X97" s="1194"/>
      <x:c r="Y97" s="339"/>
      <x:c r="Z97" s="339"/>
    </x:row>
    <x:row r="98">
      <x:c r="A98" s="998" t="str">
        <x:v>National social break-even earnings uplift</x:v>
      </x:c>
      <x:c r="B98" s="999" t="n">
        <x:f>'Human Capital &amp; Earnings'!$J$114</x:f>
        <x:v>0.05168572155475939</x:v>
      </x:c>
      <x:c r="C98" s="999" t="n">
        <x:f>'Human Capital &amp; Earnings'!$J$117</x:f>
        <x:v>0.0851002355478312</x:v>
      </x:c>
      <x:c r="D98" s="998" t="str">
        <x:v>%</x:v>
      </x:c>
      <x:c r="E98" s="998" t="str">
        <x:v>4% intermediate sensitivity</x:v>
      </x:c>
      <x:c r="F98" s="998" t="str">
        <x:v>Calculated sensitivity</x:v>
      </x:c>
      <x:c r="G98" s="998" t="str">
        <x:v>Break-even</x:v>
      </x:c>
      <x:c r="H98" s="998" t="str">
        <x:v>Mature national design.</x:v>
      </x:c>
      <x:c r="I98" s="339"/>
      <x:c r="J98" s="339"/>
      <x:c r="K98" s="339"/>
      <x:c r="L98" s="339"/>
      <x:c r="M98" s="339"/>
      <x:c r="N98" s="339"/>
      <x:c r="O98" s="339"/>
      <x:c r="P98" s="339"/>
      <x:c r="Q98" s="339"/>
      <x:c r="R98" s="339"/>
      <x:c r="S98" s="339"/>
      <x:c r="T98" s="339"/>
      <x:c r="U98" s="1194"/>
      <x:c r="V98" s="1194"/>
      <x:c r="W98" s="1194"/>
      <x:c r="X98" s="1194"/>
      <x:c r="Y98" s="339"/>
      <x:c r="Z98" s="339"/>
    </x:row>
    <x:row r="99">
      <x:c r="A99" s="998" t="str">
        <x:v>National Crown fiscal break-even earnings uplift</x:v>
      </x:c>
      <x:c r="B99" s="999" t="n">
        <x:f>'Human Capital &amp; Earnings'!$K$114</x:f>
        <x:v>0.23373864282414236</x:v>
      </x:c>
      <x:c r="C99" s="999" t="n">
        <x:f>'Human Capital &amp; Earnings'!$K$117</x:f>
        <x:v>0.3174347047868822</x:v>
      </x:c>
      <x:c r="D99" s="998" t="str">
        <x:v>%</x:v>
      </x:c>
      <x:c r="E99" s="998" t="str">
        <x:v>4% intermediate sensitivity</x:v>
      </x:c>
      <x:c r="F99" s="998" t="str">
        <x:v>Calculated sensitivity</x:v>
      </x:c>
      <x:c r="G99" s="998" t="str">
        <x:v>Break-even</x:v>
      </x:c>
      <x:c r="H99" s="998" t="str">
        <x:v>Tax, ACC, benefit and loan offsets only.</x:v>
      </x:c>
      <x:c r="I99" s="339"/>
      <x:c r="J99" s="339"/>
      <x:c r="K99" s="339"/>
      <x:c r="L99" s="339"/>
      <x:c r="M99" s="339"/>
      <x:c r="N99" s="339"/>
      <x:c r="O99" s="339"/>
      <x:c r="P99" s="339"/>
      <x:c r="Q99" s="339"/>
      <x:c r="R99" s="339"/>
      <x:c r="S99" s="339"/>
      <x:c r="T99" s="339"/>
      <x:c r="U99" s="1194"/>
      <x:c r="V99" s="1194"/>
      <x:c r="W99" s="1194"/>
      <x:c r="X99" s="1194"/>
      <x:c r="Y99" s="339"/>
      <x:c r="Z99" s="339"/>
    </x:row>
    <x:row r="100">
      <x:c r="A100" s="998" t="str">
        <x:v>Core + accelerator social break-even</x:v>
      </x:c>
      <x:c r="B100" s="999" t="n">
        <x:f>'Human Capital &amp; Earnings'!$J$114</x:f>
        <x:v>0.05168572155475939</x:v>
      </x:c>
      <x:c r="C100" s="999" t="n">
        <x:f>'Human Capital &amp; Earnings'!$J$111</x:f>
        <x:v>0.033256642039771675</x:v>
      </x:c>
      <x:c r="D100" s="998" t="str">
        <x:v>%</x:v>
      </x:c>
      <x:c r="E100" s="998" t="str">
        <x:v>4% intermediate sensitivity</x:v>
      </x:c>
      <x:c r="F100" s="998" t="str">
        <x:v>Calculated sensitivity</x:v>
      </x:c>
      <x:c r="G100" s="998" t="str">
        <x:v>Targeted break-even</x:v>
      </x:c>
      <x:c r="H100" s="998" t="str">
        <x:v>Pilot / targeted column shows the bounded targeted-pilot break-even; national column shows the core-plus-accelerator break-even.</x:v>
      </x:c>
      <x:c r="I100" s="339"/>
      <x:c r="J100" s="339"/>
      <x:c r="K100" s="339"/>
      <x:c r="L100" s="339"/>
      <x:c r="M100" s="339"/>
      <x:c r="N100" s="339"/>
      <x:c r="O100" s="339"/>
      <x:c r="P100" s="339"/>
      <x:c r="Q100" s="339"/>
      <x:c r="R100" s="339"/>
      <x:c r="S100" s="339"/>
      <x:c r="T100" s="339"/>
      <x:c r="U100" s="1194"/>
      <x:c r="V100" s="1194"/>
      <x:c r="W100" s="1194"/>
      <x:c r="X100" s="1194"/>
      <x:c r="Y100" s="339"/>
      <x:c r="Z100" s="339"/>
    </x:row>
    <x:row r="101">
      <x:c r="A101" s="28" t="str">
        <x:v>Committed pooled co-investment</x:v>
      </x:c>
      <x:c r="B101" s="344" t="n">
        <x:v>0</x:v>
      </x:c>
      <x:c r="C101" s="344" t="n">
        <x:f>'Delivery Scenarios'!$B$14</x:f>
        <x:v>0</x:v>
      </x:c>
      <x:c r="D101" s="28" t="str">
        <x:v>NZD/year</x:v>
      </x:c>
      <x:c r="E101" s="28" t="str">
        <x:v>—</x:v>
      </x:c>
      <x:c r="F101" s="28" t="str">
        <x:v>Signed commitments only</x:v>
      </x:c>
      <x:c r="G101" s="28" t="str">
        <x:v>Central Crown model</x:v>
      </x:c>
      <x:c r="H101" s="28" t="str">
        <x:v>Currently zero.</x:v>
      </x:c>
      <x:c r="I101" s="339"/>
      <x:c r="J101" s="339"/>
      <x:c r="K101" s="339"/>
      <x:c r="L101" s="339"/>
      <x:c r="M101" s="339"/>
      <x:c r="N101" s="339"/>
      <x:c r="O101" s="339"/>
      <x:c r="P101" s="339"/>
      <x:c r="Q101" s="339"/>
      <x:c r="R101" s="339"/>
      <x:c r="S101" s="339"/>
      <x:c r="T101" s="339"/>
      <x:c r="U101" s="1194"/>
      <x:c r="V101" s="1194"/>
      <x:c r="W101" s="1194"/>
      <x:c r="X101" s="1194"/>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1194"/>
      <x:c r="V102" s="1194"/>
      <x:c r="W102" s="1194"/>
      <x:c r="X102" s="1194"/>
      <x:c r="Y102" s="339"/>
      <x:c r="Z102" s="339"/>
    </x:row>
    <x:row r="103">
      <x:c r="A103" s="1076" t="str">
        <x:v>Two social-CBA cost perspectives — 2% Treasury-aligned lead view</x:v>
      </x:c>
      <x:c r="B103" s="1076"/>
      <x:c r="C103" s="1076"/>
      <x:c r="D103" s="1076"/>
      <x:c r="E103" s="1076"/>
      <x:c r="F103" s="1076"/>
      <x:c r="G103" s="1076"/>
      <x:c r="H103" s="1076"/>
      <x:c r="I103" s="339"/>
      <x:c r="J103" s="339"/>
      <x:c r="K103" s="339"/>
      <x:c r="L103" s="339"/>
      <x:c r="M103" s="339"/>
      <x:c r="N103" s="339"/>
      <x:c r="O103" s="339"/>
      <x:c r="P103" s="339"/>
      <x:c r="Q103" s="339"/>
      <x:c r="R103" s="339"/>
      <x:c r="S103" s="339"/>
      <x:c r="T103" s="339"/>
      <x:c r="U103" s="1194"/>
      <x:c r="V103" s="1194"/>
      <x:c r="W103" s="1194"/>
      <x:c r="X103" s="1194"/>
      <x:c r="Y103" s="339"/>
      <x:c r="Z103" s="339"/>
    </x:row>
    <x:row r="104">
      <x:c r="A104" s="1074" t="str">
        <x:v>Measure</x:v>
      </x:c>
      <x:c r="B104" s="1074" t="str">
        <x:v>0% earnings uplift</x:v>
      </x:c>
      <x:c r="C104" s="1074" t="str">
        <x:v>1% earnings uplift</x:v>
      </x:c>
      <x:c r="D104" s="1074" t="str">
        <x:v>5% earnings uplift</x:v>
      </x:c>
      <x:c r="E104" s="1074" t="str">
        <x:v>Cost denominator</x:v>
      </x:c>
      <x:c r="F104" s="1074" t="str">
        <x:v>Status</x:v>
      </x:c>
      <x:c r="G104" s="1074" t="str">
        <x:v>Crown cash implication</x:v>
      </x:c>
      <x:c r="H104" s="1074" t="str">
        <x:v>Interpretation</x:v>
      </x:c>
      <x:c r="I104" s="339"/>
      <x:c r="J104" s="339"/>
      <x:c r="K104" s="339"/>
      <x:c r="L104" s="339"/>
      <x:c r="M104" s="339"/>
      <x:c r="N104" s="339"/>
      <x:c r="O104" s="339"/>
      <x:c r="P104" s="339"/>
      <x:c r="Q104" s="339"/>
      <x:c r="R104" s="339"/>
      <x:c r="S104" s="339"/>
      <x:c r="T104" s="339"/>
      <x:c r="U104" s="1194"/>
      <x:c r="V104" s="1194"/>
      <x:c r="W104" s="1194"/>
      <x:c r="X104" s="1194"/>
      <x:c r="Y104" s="339"/>
      <x:c r="Z104" s="339"/>
    </x:row>
    <x:row r="105">
      <x:c r="A105" s="28" t="str">
        <x:v>Full-expenditure social-investment BCR — 2%</x:v>
      </x:c>
      <x:c r="B105" s="1077" t="n">
        <x:f>'Human Capital &amp; Earnings'!$J$96</x:f>
        <x:v>0.25333759922376436</x:v>
      </x:c>
      <x:c r="C105" s="1077" t="n">
        <x:f>'Human Capital &amp; Earnings'!$J$99</x:f>
        <x:v>0.3817901563689555</x:v>
      </x:c>
      <x:c r="D105" s="1077" t="n">
        <x:f>'Human Capital &amp; Earnings'!$J$102</x:f>
        <x:v>0.8956003849497204</x:v>
      </x:c>
      <x:c r="E105" s="28" t="str">
        <x:v>Full mature annual public expenditure</x:v>
      </x:c>
      <x:c r="F105" s="28" t="str">
        <x:v>Calculated sensitivity</x:v>
      </x:c>
      <x:c r="G105" s="28" t="str">
        <x:v>Full appropriation remains payable</x:v>
      </x:c>
      <x:c r="H105" s="28" t="str">
        <x:v>Stringent value-for-money view.</x:v>
      </x:c>
      <x:c r="I105" s="339"/>
      <x:c r="J105" s="339"/>
      <x:c r="K105" s="339"/>
      <x:c r="L105" s="339"/>
      <x:c r="M105" s="339"/>
      <x:c r="N105" s="339"/>
      <x:c r="O105" s="339"/>
      <x:c r="P105" s="339"/>
      <x:c r="Q105" s="339"/>
      <x:c r="R105" s="339"/>
      <x:c r="S105" s="339"/>
      <x:c r="T105" s="339"/>
      <x:c r="U105" s="1194"/>
      <x:c r="V105" s="1194"/>
      <x:c r="W105" s="1194"/>
      <x:c r="X105" s="1194"/>
      <x:c r="Y105" s="339"/>
      <x:c r="Z105" s="339"/>
    </x:row>
    <x:row r="106">
      <x:c r="A106" s="28" t="str">
        <x:v>Provisional alternative economic treatment of participant transfers — not Treasury-confirmed — 2%</x:v>
      </x:c>
      <x:c r="B106" s="1077" t="n">
        <x:f>'Human Capital &amp; Earnings'!$O$96</x:f>
        <x:v>1.245820816324538</x:v>
      </x:c>
      <x:c r="C106" s="1077" t="n">
        <x:f>'Human Capital &amp; Earnings'!$O$99</x:f>
        <x:v>1.8775030857228854</x:v>
      </x:c>
      <x:c r="D106" s="1077" t="n">
        <x:f>'Human Capital &amp; Earnings'!$O$102</x:f>
        <x:v>4.404232163316275</x:v>
      </x:c>
      <x:c r="E106" s="28" t="str">
        <x:v>Real national resource cost after provisional transfer adjustment</x:v>
      </x:c>
      <x:c r="F106" s="28" t="str">
        <x:v>Provisional methodology — Treasury confirmation required</x:v>
      </x:c>
      <x:c r="G106" s="28" t="str">
        <x:v>Full appropriation remains payable</x:v>
      </x:c>
      <x:c r="H106" s="28" t="str">
        <x:v>Technical sensitivity only; full Crown appropriation remains payable.</x:v>
      </x:c>
      <x:c r="I106" s="339"/>
      <x:c r="J106" s="339"/>
      <x:c r="K106" s="339"/>
      <x:c r="L106" s="339"/>
      <x:c r="M106" s="339"/>
      <x:c r="N106" s="339"/>
      <x:c r="O106" s="339"/>
      <x:c r="P106" s="339"/>
      <x:c r="Q106" s="339"/>
      <x:c r="R106" s="339"/>
      <x:c r="S106" s="339"/>
      <x:c r="T106" s="339"/>
      <x:c r="U106" s="1194"/>
      <x:c r="V106" s="1194"/>
      <x:c r="W106" s="1194"/>
      <x:c r="X106" s="1194"/>
      <x:c r="Y106" s="339"/>
      <x:c r="Z106" s="339"/>
    </x:row>
    <x:row r="107">
      <x:c r="A107" s="28" t="str">
        <x:v>Full-expenditure social-investment BCR — 4%</x:v>
      </x:c>
      <x:c r="B107" s="1077" t="n">
        <x:f>'Human Capital &amp; Earnings'!$K$96</x:f>
        <x:v>0.25333759922376436</x:v>
      </x:c>
      <x:c r="C107" s="1077" t="n">
        <x:f>'Human Capital &amp; Earnings'!$K$99</x:f>
        <x:v>0.3410767689181383</x:v>
      </x:c>
      <x:c r="D107" s="1077" t="n">
        <x:f>'Human Capital &amp; Earnings'!$K$102</x:f>
        <x:v>0.6920334476956341</x:v>
      </x:c>
      <x:c r="E107" s="28" t="str">
        <x:v>Full mature annual public expenditure</x:v>
      </x:c>
      <x:c r="F107" s="28" t="str">
        <x:v>Intermediate sensitivity</x:v>
      </x:c>
      <x:c r="G107" s="28" t="str">
        <x:v>Full appropriation remains payable</x:v>
      </x:c>
      <x:c r="H107" s="28" t="str">
        <x:v>Intermediate analytical sensitivity only.</x:v>
      </x:c>
      <x:c r="I107" s="339"/>
      <x:c r="J107" s="339"/>
      <x:c r="K107" s="339"/>
      <x:c r="L107" s="339"/>
      <x:c r="M107" s="339"/>
      <x:c r="N107" s="339"/>
      <x:c r="O107" s="339"/>
      <x:c r="P107" s="339"/>
      <x:c r="Q107" s="339"/>
      <x:c r="R107" s="339"/>
      <x:c r="S107" s="339"/>
      <x:c r="T107" s="339"/>
      <x:c r="U107" s="1194"/>
      <x:c r="V107" s="1194"/>
      <x:c r="W107" s="1194"/>
      <x:c r="X107" s="1194"/>
      <x:c r="Y107" s="339"/>
      <x:c r="Z107" s="339"/>
    </x:row>
    <x:row r="108">
      <x:c r="A108" s="28" t="str">
        <x:v>Provisional alternative economic treatment of participant transfers — not Treasury-confirmed — 4%</x:v>
      </x:c>
      <x:c r="B108" s="1077" t="n">
        <x:f>'Human Capital &amp; Earnings'!$P$96</x:f>
        <x:v>1.245820816324538</x:v>
      </x:c>
      <x:c r="C108" s="1077" t="n">
        <x:f>'Human Capital &amp; Earnings'!$P$99</x:f>
        <x:v>1.6772896719038268</x:v>
      </x:c>
      <x:c r="D108" s="1077" t="n">
        <x:f>'Human Capital &amp; Earnings'!$P$102</x:f>
        <x:v>3.403165094220982</x:v>
      </x:c>
      <x:c r="E108" s="28" t="str">
        <x:v>Provisional transfer-adjusted resource cost</x:v>
      </x:c>
      <x:c r="F108" s="28" t="str">
        <x:v>Provisional methodology — Treasury confirmation required</x:v>
      </x:c>
      <x:c r="G108" s="28" t="str">
        <x:v>Full appropriation remains payable</x:v>
      </x:c>
      <x:c r="H108" s="28" t="str">
        <x:v>Technical sensitivity only; full Crown appropriation remains payable.</x:v>
      </x:c>
      <x:c r="I108" s="339"/>
      <x:c r="J108" s="339"/>
      <x:c r="K108" s="339"/>
      <x:c r="L108" s="339"/>
      <x:c r="M108" s="339"/>
      <x:c r="N108" s="339"/>
      <x:c r="O108" s="339"/>
      <x:c r="P108" s="339"/>
      <x:c r="Q108" s="339"/>
      <x:c r="R108" s="339"/>
      <x:c r="S108" s="339"/>
      <x:c r="T108" s="339"/>
      <x:c r="U108" s="1194"/>
      <x:c r="V108" s="1194"/>
      <x:c r="W108" s="1194"/>
      <x:c r="X108" s="1194"/>
      <x:c r="Y108" s="339"/>
      <x:c r="Z108" s="339"/>
    </x:row>
    <x:row r="109">
      <x:c r="A109" s="28" t="str">
        <x:v>Full-expenditure social-investment BCR — 8%</x:v>
      </x:c>
      <x:c r="B109" s="1077" t="n">
        <x:f>'Human Capital &amp; Earnings'!$L$96</x:f>
        <x:v>0.25333759922376436</x:v>
      </x:c>
      <x:c r="C109" s="1077" t="n">
        <x:f>'Human Capital &amp; Earnings'!$L$99</x:f>
        <x:v>0.3016465071613768</x:v>
      </x:c>
      <x:c r="D109" s="1077" t="n">
        <x:f>'Human Capital &amp; Earnings'!$L$102</x:f>
        <x:v>0.49488213891182653</x:v>
      </x:c>
      <x:c r="E109" s="28" t="str">
        <x:v>Full mature annual public expenditure</x:v>
      </x:c>
      <x:c r="F109" s="28" t="str">
        <x:v>High sensitivity</x:v>
      </x:c>
      <x:c r="G109" s="28" t="str">
        <x:v>Full appropriation remains payable</x:v>
      </x:c>
      <x:c r="H109" s="28" t="str">
        <x:v>High discount-rate view.</x:v>
      </x:c>
      <x:c r="I109" s="339"/>
      <x:c r="J109" s="339"/>
      <x:c r="K109" s="339"/>
      <x:c r="L109" s="339"/>
      <x:c r="M109" s="339"/>
      <x:c r="N109" s="339"/>
      <x:c r="O109" s="339"/>
      <x:c r="P109" s="339"/>
      <x:c r="Q109" s="339"/>
      <x:c r="R109" s="339"/>
      <x:c r="S109" s="339"/>
      <x:c r="T109" s="339"/>
      <x:c r="U109" s="1194"/>
      <x:c r="V109" s="1194"/>
      <x:c r="W109" s="1194"/>
      <x:c r="X109" s="1194"/>
      <x:c r="Y109" s="339"/>
      <x:c r="Z109" s="339"/>
    </x:row>
    <x:row r="110">
      <x:c r="A110" s="28" t="str">
        <x:v>Provisional alternative economic treatment of participant transfers — not Treasury-confirmed — 8%</x:v>
      </x:c>
      <x:c r="B110" s="1077" t="n">
        <x:f>'Human Capital &amp; Earnings'!$Q$96</x:f>
        <x:v>1.245820816324538</x:v>
      </x:c>
      <x:c r="C110" s="1077" t="n">
        <x:f>'Human Capital &amp; Earnings'!$Q$99</x:f>
        <x:v>1.4833861966983553</x:v>
      </x:c>
      <x:c r="D110" s="1077" t="n">
        <x:f>'Human Capital &amp; Earnings'!$Q$102</x:f>
        <x:v>2.4336477181936247</x:v>
      </x:c>
      <x:c r="E110" s="28" t="str">
        <x:v>Provisional transfer-adjusted resource cost</x:v>
      </x:c>
      <x:c r="F110" s="28" t="str">
        <x:v>Provisional methodology — Treasury confirmation required</x:v>
      </x:c>
      <x:c r="G110" s="28" t="str">
        <x:v>Full appropriation remains payable</x:v>
      </x:c>
      <x:c r="H110" s="28" t="str">
        <x:v>Technical sensitivity only; full Crown appropriation remains payable.</x:v>
      </x:c>
      <x:c r="I110" s="339"/>
      <x:c r="J110" s="339"/>
      <x:c r="K110" s="339"/>
      <x:c r="L110" s="339"/>
      <x:c r="M110" s="339"/>
      <x:c r="N110" s="339"/>
      <x:c r="O110" s="339"/>
      <x:c r="P110" s="339"/>
      <x:c r="Q110" s="339"/>
      <x:c r="R110" s="339"/>
      <x:c r="S110" s="339"/>
      <x:c r="T110" s="339"/>
      <x:c r="U110" s="1194"/>
      <x:c r="V110" s="1194"/>
      <x:c r="W110" s="1194"/>
      <x:c r="X110" s="1194"/>
      <x:c r="Y110" s="339"/>
      <x:c r="Z110" s="339"/>
    </x:row>
    <x:row r="111">
      <x:c r="A111" s="28" t="str">
        <x:v>Control statement</x:v>
      </x:c>
      <x:c r="B111" s="28"/>
      <x:c r="C111" s="28"/>
      <x:c r="D111" s="28"/>
      <x:c r="E111" s="28"/>
      <x:c r="F111" s="28" t="str">
        <x:v>No double counting</x:v>
      </x:c>
      <x:c r="G111" s="28" t="str">
        <x:v>Participant payments are not fiscally free</x:v>
      </x:c>
      <x:c r="H111" s="28" t="str">
        <x:v>Student account value and investment returns are not added as free national benefits.</x:v>
      </x:c>
      <x:c r="I111" s="339"/>
      <x:c r="J111" s="339"/>
      <x:c r="K111" s="339"/>
      <x:c r="L111" s="339"/>
      <x:c r="M111" s="339"/>
      <x:c r="N111" s="339"/>
      <x:c r="O111" s="339"/>
      <x:c r="P111" s="339"/>
      <x:c r="Q111" s="339"/>
      <x:c r="R111" s="339"/>
      <x:c r="S111" s="339"/>
      <x:c r="T111" s="339"/>
      <x:c r="U111" s="1194"/>
      <x:c r="V111" s="1194"/>
      <x:c r="W111" s="1194"/>
      <x:c r="X111" s="1194"/>
      <x:c r="Y111" s="339"/>
      <x:c r="Z111" s="339"/>
    </x:row>
    <x:row r="112" ht="24" customHeight="1">
      <x:c r="A112" s="1371" t="str">
        <x:v>This calculation removes the cash-transfer component of participant payments from the national resource-cost denominator. It does not yet incorporate a validated marginal cost of public funds, deadweight cost of taxation or complete behavioural treatment. It must not be treated as a Treasury-endorsed BCR.</x:v>
      </x:c>
      <x:c r="B112" s="1371"/>
      <x:c r="C112" s="1371"/>
      <x:c r="D112" s="1371"/>
      <x:c r="E112" s="1371"/>
      <x:c r="F112" s="1371"/>
      <x:c r="G112" s="1371"/>
      <x:c r="H112" s="1371"/>
      <x:c r="I112" s="339"/>
      <x:c r="J112" s="339"/>
      <x:c r="K112" s="339"/>
      <x:c r="L112" s="339"/>
      <x:c r="M112" s="339"/>
      <x:c r="N112" s="339"/>
      <x:c r="O112" s="339"/>
      <x:c r="P112" s="339"/>
      <x:c r="Q112" s="339"/>
      <x:c r="R112" s="339"/>
      <x:c r="S112" s="339"/>
      <x:c r="T112" s="339"/>
      <x:c r="U112" s="1194"/>
      <x:c r="V112" s="1194"/>
      <x:c r="W112" s="1194"/>
      <x:c r="X112" s="1194"/>
      <x:c r="Y112" s="339"/>
      <x:c r="Z112" s="339"/>
    </x:row>
    <x:row r="113" ht="24" customHeight="1">
      <x:c r="A113" s="1371"/>
      <x:c r="B113" s="1371"/>
      <x:c r="C113" s="1371"/>
      <x:c r="D113" s="1371"/>
      <x:c r="E113" s="1371"/>
      <x:c r="F113" s="1371"/>
      <x:c r="G113" s="1371"/>
      <x:c r="H113" s="1371"/>
      <x:c r="I113" s="339"/>
      <x:c r="J113" s="339"/>
      <x:c r="K113" s="339"/>
      <x:c r="L113" s="339"/>
      <x:c r="M113" s="339"/>
      <x:c r="N113" s="339"/>
      <x:c r="O113" s="339"/>
      <x:c r="P113" s="339"/>
      <x:c r="Q113" s="339"/>
      <x:c r="R113" s="339"/>
      <x:c r="S113" s="339"/>
      <x:c r="T113" s="339"/>
      <x:c r="U113" s="1194"/>
      <x:c r="V113" s="1194"/>
      <x:c r="W113" s="1194"/>
      <x:c r="X113" s="1194"/>
      <x:c r="Y113" s="339"/>
      <x:c r="Z113" s="339"/>
    </x:row>
    <x:row r="114" ht="24" customHeight="1">
      <x:c r="A114" s="1371"/>
      <x:c r="B114" s="1371"/>
      <x:c r="C114" s="1371"/>
      <x:c r="D114" s="1371"/>
      <x:c r="E114" s="1371"/>
      <x:c r="F114" s="1371"/>
      <x:c r="G114" s="1371"/>
      <x:c r="H114" s="1371"/>
      <x:c r="I114" s="339"/>
      <x:c r="J114" s="339"/>
      <x:c r="K114" s="339"/>
      <x:c r="L114" s="339"/>
      <x:c r="M114" s="339"/>
      <x:c r="N114" s="339"/>
      <x:c r="O114" s="339"/>
      <x:c r="P114" s="339"/>
      <x:c r="Q114" s="339"/>
      <x:c r="R114" s="339"/>
      <x:c r="S114" s="339"/>
      <x:c r="T114" s="339"/>
      <x:c r="U114" s="1194"/>
      <x:c r="V114" s="1194"/>
      <x:c r="W114" s="1194"/>
      <x:c r="X114" s="1194"/>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1194"/>
      <x:c r="V115" s="1194"/>
      <x:c r="W115" s="1194"/>
      <x:c r="X115" s="1194"/>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1194"/>
      <x:c r="V116" s="1194"/>
      <x:c r="W116" s="1194"/>
      <x:c r="X116" s="1194"/>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1194"/>
      <x:c r="V117" s="1194"/>
      <x:c r="W117" s="1194"/>
      <x:c r="X117" s="1194"/>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1194"/>
      <x:c r="V118" s="1194"/>
      <x:c r="W118" s="1194"/>
      <x:c r="X118" s="1194"/>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1194"/>
      <x:c r="V119" s="1194"/>
      <x:c r="W119" s="1194"/>
      <x:c r="X119" s="1194"/>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1194"/>
      <x:c r="V120" s="1194"/>
      <x:c r="W120" s="1194"/>
      <x:c r="X120" s="1194"/>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1194"/>
      <x:c r="V121" s="1194"/>
      <x:c r="W121" s="1194"/>
      <x:c r="X121" s="1194"/>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1194"/>
      <x:c r="V122" s="1194"/>
      <x:c r="W122" s="1194"/>
      <x:c r="X122" s="1194"/>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1194"/>
      <x:c r="V123" s="1194"/>
      <x:c r="W123" s="1194"/>
      <x:c r="X123" s="1194"/>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1194"/>
      <x:c r="V124" s="1194"/>
      <x:c r="W124" s="1194"/>
      <x:c r="X124" s="1194"/>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1194"/>
      <x:c r="V125" s="1194"/>
      <x:c r="W125" s="1194"/>
      <x:c r="X125" s="1194"/>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1194"/>
      <x:c r="V126" s="1194"/>
      <x:c r="W126" s="1194"/>
      <x:c r="X126" s="1194"/>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1194"/>
      <x:c r="V127" s="1194"/>
      <x:c r="W127" s="1194"/>
      <x:c r="X127" s="1194"/>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1194"/>
      <x:c r="V128" s="1194"/>
      <x:c r="W128" s="1194"/>
      <x:c r="X128" s="1194"/>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1194"/>
      <x:c r="V129" s="1194"/>
      <x:c r="W129" s="1194"/>
      <x:c r="X129" s="1194"/>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1194"/>
      <x:c r="V130" s="1194"/>
      <x:c r="W130" s="1194"/>
      <x:c r="X130" s="1194"/>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1194"/>
      <x:c r="V131" s="1194"/>
      <x:c r="W131" s="1194"/>
      <x:c r="X131" s="1194"/>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1194"/>
      <x:c r="V132" s="1194"/>
      <x:c r="W132" s="1194"/>
      <x:c r="X132" s="1194"/>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1194"/>
      <x:c r="V133" s="1194"/>
      <x:c r="W133" s="1194"/>
      <x:c r="X133" s="1194"/>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1194"/>
      <x:c r="V134" s="1194"/>
      <x:c r="W134" s="1194"/>
      <x:c r="X134" s="1194"/>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1194"/>
      <x:c r="V135" s="1194"/>
      <x:c r="W135" s="1194"/>
      <x:c r="X135" s="1194"/>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1194"/>
      <x:c r="V136" s="1194"/>
      <x:c r="W136" s="1194"/>
      <x:c r="X136" s="1194"/>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1194"/>
      <x:c r="V137" s="1194"/>
      <x:c r="W137" s="1194"/>
      <x:c r="X137" s="1194"/>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1194"/>
      <x:c r="V138" s="1194"/>
      <x:c r="W138" s="1194"/>
      <x:c r="X138" s="1194"/>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1194"/>
      <x:c r="V139" s="1194"/>
      <x:c r="W139" s="1194"/>
      <x:c r="X139" s="1194"/>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1194"/>
      <x:c r="V140" s="1194"/>
      <x:c r="W140" s="1194"/>
      <x:c r="X140" s="1194"/>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1194"/>
      <x:c r="V141" s="1194"/>
      <x:c r="W141" s="1194"/>
      <x:c r="X141" s="1194"/>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1194"/>
      <x:c r="V142" s="1194"/>
      <x:c r="W142" s="1194"/>
      <x:c r="X142" s="1194"/>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1194"/>
      <x:c r="V143" s="1194"/>
      <x:c r="W143" s="1194"/>
      <x:c r="X143" s="1194"/>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1194"/>
      <x:c r="V144" s="1194"/>
      <x:c r="W144" s="1194"/>
      <x:c r="X144" s="1194"/>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1194"/>
      <x:c r="V145" s="1194"/>
      <x:c r="W145" s="1194"/>
      <x:c r="X145" s="1194"/>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1194"/>
      <x:c r="V146" s="1194"/>
      <x:c r="W146" s="1194"/>
      <x:c r="X146" s="1194"/>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1194"/>
      <x:c r="V147" s="1194"/>
      <x:c r="W147" s="1194"/>
      <x:c r="X147" s="1194"/>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1194"/>
      <x:c r="V148" s="1194"/>
      <x:c r="W148" s="1194"/>
      <x:c r="X148" s="1194"/>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1194"/>
      <x:c r="V149" s="1194"/>
      <x:c r="W149" s="1194"/>
      <x:c r="X149" s="1194"/>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1194"/>
      <x:c r="V150" s="1194"/>
      <x:c r="W150" s="1194"/>
      <x:c r="X150" s="1194"/>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1194"/>
      <x:c r="V151" s="1194"/>
      <x:c r="W151" s="1194"/>
      <x:c r="X151" s="1194"/>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1194"/>
      <x:c r="V152" s="1194"/>
      <x:c r="W152" s="1194"/>
      <x:c r="X152" s="1194"/>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1194"/>
      <x:c r="V153" s="1194"/>
      <x:c r="W153" s="1194"/>
      <x:c r="X153" s="1194"/>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1194"/>
      <x:c r="V154" s="1194"/>
      <x:c r="W154" s="1194"/>
      <x:c r="X154" s="1194"/>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1194"/>
      <x:c r="V155" s="1194"/>
      <x:c r="W155" s="1194"/>
      <x:c r="X155" s="1194"/>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1194"/>
      <x:c r="V156" s="1194"/>
      <x:c r="W156" s="1194"/>
      <x:c r="X156" s="1194"/>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1194"/>
      <x:c r="V157" s="1194"/>
      <x:c r="W157" s="1194"/>
      <x:c r="X157" s="1194"/>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1194"/>
      <x:c r="V158" s="1194"/>
      <x:c r="W158" s="1194"/>
      <x:c r="X158" s="1194"/>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1194"/>
      <x:c r="V159" s="1194"/>
      <x:c r="W159" s="1194"/>
      <x:c r="X159" s="1194"/>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1194"/>
      <x:c r="V160" s="1194"/>
      <x:c r="W160" s="1194"/>
      <x:c r="X160" s="1194"/>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1194"/>
      <x:c r="V161" s="1194"/>
      <x:c r="W161" s="1194"/>
      <x:c r="X161" s="1194"/>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1194"/>
      <x:c r="V162" s="1194"/>
      <x:c r="W162" s="1194"/>
      <x:c r="X162" s="1194"/>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1194"/>
      <x:c r="V163" s="1194"/>
      <x:c r="W163" s="1194"/>
      <x:c r="X163" s="1194"/>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1194"/>
      <x:c r="V164" s="1194"/>
      <x:c r="W164" s="1194"/>
      <x:c r="X164" s="1194"/>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1194"/>
      <x:c r="V165" s="1194"/>
      <x:c r="W165" s="1194"/>
      <x:c r="X165" s="1194"/>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1194"/>
      <x:c r="V166" s="1194"/>
      <x:c r="W166" s="1194"/>
      <x:c r="X166" s="1194"/>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1194"/>
      <x:c r="V167" s="1194"/>
      <x:c r="W167" s="1194"/>
      <x:c r="X167" s="1194"/>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1194"/>
      <x:c r="V168" s="1194"/>
      <x:c r="W168" s="1194"/>
      <x:c r="X168" s="1194"/>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1194"/>
      <x:c r="V169" s="1194"/>
      <x:c r="W169" s="1194"/>
      <x:c r="X169" s="1194"/>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1194"/>
      <x:c r="V170" s="1194"/>
      <x:c r="W170" s="1194"/>
      <x:c r="X170" s="1194"/>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1194"/>
      <x:c r="V171" s="1194"/>
      <x:c r="W171" s="1194"/>
      <x:c r="X171" s="1194"/>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1194"/>
      <x:c r="V172" s="1194"/>
      <x:c r="W172" s="1194"/>
      <x:c r="X172" s="1194"/>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1194"/>
      <x:c r="V173" s="1194"/>
      <x:c r="W173" s="1194"/>
      <x:c r="X173" s="1194"/>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1194"/>
      <x:c r="V174" s="1194"/>
      <x:c r="W174" s="1194"/>
      <x:c r="X174" s="1194"/>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1194"/>
      <x:c r="V175" s="1194"/>
      <x:c r="W175" s="1194"/>
      <x:c r="X175" s="1194"/>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1194"/>
      <x:c r="V176" s="1194"/>
      <x:c r="W176" s="1194"/>
      <x:c r="X176" s="1194"/>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1194"/>
      <x:c r="V177" s="1194"/>
      <x:c r="W177" s="1194"/>
      <x:c r="X177" s="1194"/>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1194"/>
      <x:c r="V178" s="1194"/>
      <x:c r="W178" s="1194"/>
      <x:c r="X178" s="1194"/>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1194"/>
      <x:c r="V179" s="1194"/>
      <x:c r="W179" s="1194"/>
      <x:c r="X179" s="1194"/>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1194"/>
      <x:c r="V180" s="1194"/>
      <x:c r="W180" s="1194"/>
      <x:c r="X180" s="1194"/>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1194"/>
      <x:c r="V181" s="1194"/>
      <x:c r="W181" s="1194"/>
      <x:c r="X181" s="1194"/>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1194"/>
      <x:c r="V182" s="1194"/>
      <x:c r="W182" s="1194"/>
      <x:c r="X182" s="1194"/>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1194"/>
      <x:c r="V183" s="1194"/>
      <x:c r="W183" s="1194"/>
      <x:c r="X183" s="1194"/>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1194"/>
      <x:c r="V184" s="1194"/>
      <x:c r="W184" s="1194"/>
      <x:c r="X184" s="1194"/>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1194"/>
      <x:c r="V185" s="1194"/>
      <x:c r="W185" s="1194"/>
      <x:c r="X185" s="1194"/>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1194"/>
      <x:c r="V186" s="1194"/>
      <x:c r="W186" s="1194"/>
      <x:c r="X186" s="1194"/>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1194"/>
      <x:c r="V187" s="1194"/>
      <x:c r="W187" s="1194"/>
      <x:c r="X187" s="1194"/>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1194"/>
      <x:c r="V188" s="1194"/>
      <x:c r="W188" s="1194"/>
      <x:c r="X188" s="1194"/>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1194"/>
      <x:c r="V189" s="1194"/>
      <x:c r="W189" s="1194"/>
      <x:c r="X189" s="1194"/>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1194"/>
      <x:c r="V190" s="1194"/>
      <x:c r="W190" s="1194"/>
      <x:c r="X190" s="1194"/>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1194"/>
      <x:c r="V191" s="1194"/>
      <x:c r="W191" s="1194"/>
      <x:c r="X191" s="1194"/>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1194"/>
      <x:c r="V192" s="1194"/>
      <x:c r="W192" s="1194"/>
      <x:c r="X192" s="1194"/>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1194"/>
      <x:c r="V193" s="1194"/>
      <x:c r="W193" s="1194"/>
      <x:c r="X193" s="1194"/>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1194"/>
      <x:c r="V194" s="1194"/>
      <x:c r="W194" s="1194"/>
      <x:c r="X194" s="1194"/>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1194"/>
      <x:c r="V195" s="1194"/>
      <x:c r="W195" s="1194"/>
      <x:c r="X195" s="1194"/>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1194"/>
      <x:c r="V196" s="1194"/>
      <x:c r="W196" s="1194"/>
      <x:c r="X196" s="1194"/>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1194"/>
      <x:c r="V197" s="1194"/>
      <x:c r="W197" s="1194"/>
      <x:c r="X197" s="1194"/>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1194"/>
      <x:c r="V198" s="1194"/>
      <x:c r="W198" s="1194"/>
      <x:c r="X198" s="1194"/>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1194"/>
      <x:c r="V199" s="1194"/>
      <x:c r="W199" s="1194"/>
      <x:c r="X199" s="1194"/>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1194"/>
      <x:c r="V200" s="1194"/>
      <x:c r="W200" s="1194"/>
      <x:c r="X200" s="1194"/>
      <x:c r="Y200" s="339"/>
      <x:c r="Z200" s="339"/>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H1"/>
    <x:mergeCell ref="A2:H2"/>
    <x:mergeCell ref="A5:H5"/>
    <x:mergeCell ref="A13:H13"/>
    <x:mergeCell ref="A21:H21"/>
    <x:mergeCell ref="A32:H32"/>
    <x:mergeCell ref="A41:H41"/>
    <x:mergeCell ref="A47:H47"/>
    <x:mergeCell ref="A57:H57"/>
    <x:mergeCell ref="A71:H71"/>
    <x:mergeCell ref="A90:H90"/>
    <x:mergeCell ref="A103:H103"/>
    <x:mergeCell ref="U1:X1"/>
    <x:mergeCell ref="V2:X2"/>
    <x:mergeCell ref="V3:X3"/>
    <x:mergeCell ref="V4:X4"/>
    <x:mergeCell ref="V5:X5"/>
    <x:mergeCell ref="V6:X6"/>
    <x:mergeCell ref="V7:X7"/>
    <x:mergeCell ref="A112:H114"/>
  </x:mergeCells>
  <x:pageMargins left="0.7" right="0.7" top="0.75" bottom="0.75" header="0.3" footer="0.3"/>
</x:worksheet>
</file>

<file path=xl/worksheets/sheet18.xml><?xml version="1.0" encoding="utf-8"?>
<x:worksheet xmlns:x="http://schemas.openxmlformats.org/spreadsheetml/2006/main">
  <x:sheetFormatPr defaultRowHeight="15"/>
  <x:cols>
    <x:col min="1" max="1" width="12" hidden="0" customWidth="1"/>
    <x:col min="2" max="2" width="38" hidden="0" customWidth="1"/>
    <x:col min="3" max="3" width="44" hidden="0" customWidth="1"/>
    <x:col min="4" max="4" width="56" hidden="0" customWidth="1"/>
    <x:col min="5" max="5" width="34" hidden="0" customWidth="1"/>
    <x:col min="6" max="6" width="28" hidden="0" customWidth="1"/>
    <x:col min="7" max="7" width="14" hidden="0" customWidth="1"/>
    <x:col min="21" max="21" width="20" hidden="0" customWidth="1"/>
    <x:col min="22" max="22" width="24" hidden="0" customWidth="1"/>
    <x:col min="23" max="23" width="24" hidden="0" customWidth="1"/>
    <x:col min="24" max="24" width="24" hidden="0" customWidth="1"/>
  </x:cols>
  <x:sheetData>
    <x:row r="1" ht="30" customHeight="1">
      <x:c r="A1" s="338" t="str">
        <x:v>Validation and Procurement Log</x:v>
      </x:c>
      <x:c r="B1" s="338" t="str">
        <x:v>Validation and Procurement Log</x:v>
      </x:c>
      <x:c r="C1" s="338" t="str">
        <x:v>Validation and Procurement Log</x:v>
      </x:c>
      <x:c r="D1" s="338" t="str">
        <x:v>Validation and Procurement Log</x:v>
      </x:c>
      <x:c r="E1" s="338" t="str">
        <x:v>Validation and Procurement Log</x:v>
      </x:c>
      <x:c r="F1" s="338" t="str">
        <x:v>Validation and Procurement Log</x:v>
      </x:c>
      <x:c r="G1" s="338" t="str">
        <x:v>Validation and Procurement Log</x:v>
      </x:c>
      <x:c r="H1" s="339"/>
      <x:c r="I1" s="339"/>
      <x:c r="J1" s="339"/>
      <x:c r="K1" s="339"/>
      <x:c r="L1" s="339"/>
      <x:c r="M1" s="339"/>
      <x:c r="N1" s="339"/>
      <x:c r="O1" s="339"/>
      <x:c r="P1" s="339"/>
      <x:c r="Q1" s="339"/>
      <x:c r="R1" s="339"/>
      <x:c r="S1" s="339"/>
      <x:c r="T1" s="339"/>
      <x:c r="U1" s="1194"/>
      <x:c r="V1" s="1194"/>
      <x:c r="W1" s="1194"/>
      <x:c r="X1" s="1194"/>
      <x:c r="Y1" s="339"/>
      <x:c r="Z1" s="339"/>
    </x:row>
    <x:row r="2" ht="28" customHeight="1">
      <x:c r="A2" s="340" t="str">
        <x:v>These items must be closed before the workbook is described as an independently costed or government-ready financial model.</x:v>
      </x:c>
      <x:c r="B2" s="340" t="str">
        <x:v>These items must be closed before the workbook is described as an independently costed or government-ready financial model.</x:v>
      </x:c>
      <x:c r="C2" s="340" t="str">
        <x:v>These items must be closed before the workbook is described as an independently costed or government-ready financial model.</x:v>
      </x:c>
      <x:c r="D2" s="340" t="str">
        <x:v>These items must be closed before the workbook is described as an independently costed or government-ready financial model.</x:v>
      </x:c>
      <x:c r="E2" s="340" t="str">
        <x:v>These items must be closed before the workbook is described as an independently costed or government-ready financial model.</x:v>
      </x:c>
      <x:c r="F2" s="340" t="str">
        <x:v>These items must be closed before the workbook is described as an independently costed or government-ready financial model.</x:v>
      </x:c>
      <x:c r="G2" s="340" t="str">
        <x:v>These items must be closed before the workbook is described as an independently costed or government-ready financial model.</x:v>
      </x:c>
      <x:c r="H2" s="339"/>
      <x:c r="I2" s="339"/>
      <x:c r="J2" s="339"/>
      <x:c r="K2" s="339"/>
      <x:c r="L2" s="339"/>
      <x:c r="M2" s="339"/>
      <x:c r="N2" s="339"/>
      <x:c r="O2" s="339"/>
      <x:c r="P2" s="339"/>
      <x:c r="Q2" s="339"/>
      <x:c r="R2" s="339"/>
      <x:c r="S2" s="339"/>
      <x:c r="T2" s="339"/>
      <x:c r="U2" s="1195"/>
      <x:c r="V2" s="1195"/>
      <x:c r="W2" s="1195"/>
      <x:c r="X2" s="1195"/>
      <x:c r="Y2" s="339"/>
      <x:c r="Z2" s="339"/>
    </x:row>
    <x:row r="3">
      <x:c r="A3" s="339"/>
      <x:c r="B3" s="339"/>
      <x:c r="C3" s="339"/>
      <x:c r="D3" s="339"/>
      <x:c r="E3" s="339"/>
      <x:c r="F3" s="339"/>
      <x:c r="G3" s="339"/>
      <x:c r="H3" s="339"/>
      <x:c r="I3" s="339"/>
      <x:c r="J3" s="339"/>
      <x:c r="K3" s="339"/>
      <x:c r="L3" s="339"/>
      <x:c r="M3" s="339"/>
      <x:c r="N3" s="339"/>
      <x:c r="O3" s="339"/>
      <x:c r="P3" s="339"/>
      <x:c r="Q3" s="339"/>
      <x:c r="R3" s="339"/>
      <x:c r="S3" s="339"/>
      <x:c r="T3" s="339"/>
      <x:c r="U3" s="1195"/>
      <x:c r="V3" s="1195"/>
      <x:c r="W3" s="1195"/>
      <x:c r="X3" s="1195"/>
      <x:c r="Y3" s="339"/>
      <x:c r="Z3" s="339"/>
    </x:row>
    <x:row r="4" ht="28" customHeight="1">
      <x:c r="A4" s="343" t="str">
        <x:v>Priority</x:v>
      </x:c>
      <x:c r="B4" s="343" t="str">
        <x:v>Open item</x:v>
      </x:c>
      <x:c r="C4" s="343" t="str">
        <x:v>Current treatment</x:v>
      </x:c>
      <x:c r="D4" s="343" t="str">
        <x:v>Required evidence</x:v>
      </x:c>
      <x:c r="E4" s="343" t="str">
        <x:v>Owner / decision-maker</x:v>
      </x:c>
      <x:c r="F4" s="343" t="str">
        <x:v>Stage gate</x:v>
      </x:c>
      <x:c r="G4" s="343" t="str">
        <x:v>Status</x:v>
      </x:c>
      <x:c r="H4" s="339"/>
      <x:c r="I4" s="339"/>
      <x:c r="J4" s="339"/>
      <x:c r="K4" s="339"/>
      <x:c r="L4" s="339"/>
      <x:c r="M4" s="339"/>
      <x:c r="N4" s="339"/>
      <x:c r="O4" s="339"/>
      <x:c r="P4" s="339"/>
      <x:c r="Q4" s="339"/>
      <x:c r="R4" s="339"/>
      <x:c r="S4" s="339"/>
      <x:c r="T4" s="339"/>
      <x:c r="U4" s="1195"/>
      <x:c r="V4" s="1195"/>
      <x:c r="W4" s="1195"/>
      <x:c r="X4" s="1195"/>
      <x:c r="Y4" s="339"/>
      <x:c r="Z4" s="339"/>
    </x:row>
    <x:row r="5">
      <x:c r="A5" s="288" t="str">
        <x:v>Critical</x:v>
      </x:c>
      <x:c r="B5" s="28" t="str">
        <x:v>Exact pilot sample definition</x:v>
      </x:c>
      <x:c r="C5" s="28" t="str">
        <x:v>4,200 treatment + 4,200 comparison assumed</x:v>
      </x:c>
      <x:c r="D5" s="28" t="str">
        <x:v>Independent power analysis and explicit treatment/control wording</x:v>
      </x:c>
      <x:c r="E5" s="28" t="str">
        <x:v>Independent evaluator + Ministry of Education</x:v>
      </x:c>
      <x:c r="F5" s="28" t="str">
        <x:v>Before pilot costing sign-off</x:v>
      </x:c>
      <x:c r="G5" s="290" t="str">
        <x:v>OPEN</x:v>
      </x:c>
      <x:c r="H5" s="339"/>
      <x:c r="I5" s="339"/>
      <x:c r="J5" s="339"/>
      <x:c r="K5" s="339"/>
      <x:c r="L5" s="339"/>
      <x:c r="M5" s="339"/>
      <x:c r="N5" s="339"/>
      <x:c r="O5" s="339"/>
      <x:c r="P5" s="339"/>
      <x:c r="Q5" s="339"/>
      <x:c r="R5" s="339"/>
      <x:c r="S5" s="339"/>
      <x:c r="T5" s="339"/>
      <x:c r="U5" s="1195"/>
      <x:c r="V5" s="1195"/>
      <x:c r="W5" s="1195"/>
      <x:c r="X5" s="1195"/>
      <x:c r="Y5" s="339"/>
      <x:c r="Z5" s="339"/>
    </x:row>
    <x:row r="6">
      <x:c r="A6" s="288" t="str">
        <x:v>Critical</x:v>
      </x:c>
      <x:c r="B6" s="28" t="str">
        <x:v>Exact national eligible cohort</x:v>
      </x:c>
      <x:c r="C6" s="28" t="str">
        <x:v>311,743 secondary subtotal used as proxy</x:v>
      </x:c>
      <x:c r="D6" s="28" t="str">
        <x:v>Year 9–13 / age 13–18 roll extract including composite schools and kura</x:v>
      </x:c>
      <x:c r="E6" s="28" t="str">
        <x:v>Ministry of Education / Education Counts</x:v>
      </x:c>
      <x:c r="F6" s="28" t="str">
        <x:v>Before national costing is quoted</x:v>
      </x:c>
      <x:c r="G6" s="290" t="str">
        <x:v>OPEN</x:v>
      </x:c>
      <x:c r="H6" s="339"/>
      <x:c r="I6" s="339"/>
      <x:c r="J6" s="339"/>
      <x:c r="K6" s="339"/>
      <x:c r="L6" s="339"/>
      <x:c r="M6" s="339"/>
      <x:c r="N6" s="339"/>
      <x:c r="O6" s="339"/>
      <x:c r="P6" s="339"/>
      <x:c r="Q6" s="339"/>
      <x:c r="R6" s="339"/>
      <x:c r="S6" s="339"/>
      <x:c r="T6" s="339"/>
      <x:c r="U6" s="1195"/>
      <x:c r="V6" s="1195"/>
      <x:c r="W6" s="1195"/>
      <x:c r="X6" s="1195"/>
      <x:c r="Y6" s="339"/>
      <x:c r="Z6" s="339"/>
    </x:row>
    <x:row r="7">
      <x:c r="A7" s="288" t="str">
        <x:v>Critical</x:v>
      </x:c>
      <x:c r="B7" s="28" t="str">
        <x:v>Stipend utilisation and eligibility</x:v>
      </x:c>
      <x:c r="C7" s="28" t="str">
        <x:v>55%→70% average earned in pilot; 65% national</x:v>
      </x:c>
      <x:c r="D7" s="28" t="str">
        <x:v>Behavioural pilot data, rules, absence treatment, caps and gaming analysis</x:v>
      </x:c>
      <x:c r="E7" s="28" t="str">
        <x:v>Programme governance + evaluator</x:v>
      </x:c>
      <x:c r="F7" s="28" t="str">
        <x:v>Pilot design and before scale</x:v>
      </x:c>
      <x:c r="G7" s="290" t="str">
        <x:v>OPEN</x:v>
      </x:c>
      <x:c r="H7" s="339"/>
      <x:c r="I7" s="339"/>
      <x:c r="J7" s="339"/>
      <x:c r="K7" s="339"/>
      <x:c r="L7" s="339"/>
      <x:c r="M7" s="339"/>
      <x:c r="N7" s="339"/>
      <x:c r="O7" s="339"/>
      <x:c r="P7" s="339"/>
      <x:c r="Q7" s="339"/>
      <x:c r="R7" s="339"/>
      <x:c r="S7" s="339"/>
      <x:c r="T7" s="339"/>
      <x:c r="U7" s="1195"/>
      <x:c r="V7" s="1195"/>
      <x:c r="W7" s="1195"/>
      <x:c r="X7" s="1195"/>
      <x:c r="Y7" s="339"/>
      <x:c r="Z7" s="339"/>
    </x:row>
    <x:row r="8">
      <x:c r="A8" s="288" t="str">
        <x:v>Critical</x:v>
      </x:c>
      <x:c r="B8" s="28" t="str">
        <x:v>Payment administration and Learning Capital Account</x:v>
      </x:c>
      <x:c r="C8" s="28" t="str">
        <x:v>Pilot and national allowances are explicit placeholders</x:v>
      </x:c>
      <x:c r="D8" s="28" t="str">
        <x:v>Formal MSD/StudyLink, regulated-provider, custodian, transaction and staffing estimates; legal and accounting design</x:v>
      </x:c>
      <x:c r="E8" s="28" t="str">
        <x:v>MSD / StudyLink / Treasury / legal</x:v>
      </x:c>
      <x:c r="F8" s="28" t="str">
        <x:v>Year 0 business case</x:v>
      </x:c>
      <x:c r="G8" s="290" t="str">
        <x:v>OPEN</x:v>
      </x:c>
      <x:c r="H8" s="339"/>
      <x:c r="I8" s="339"/>
      <x:c r="J8" s="339"/>
      <x:c r="K8" s="339"/>
      <x:c r="L8" s="339"/>
      <x:c r="M8" s="339"/>
      <x:c r="N8" s="339"/>
      <x:c r="O8" s="339"/>
      <x:c r="P8" s="339"/>
      <x:c r="Q8" s="339"/>
      <x:c r="R8" s="339"/>
      <x:c r="S8" s="339"/>
      <x:c r="T8" s="339"/>
      <x:c r="U8" s="1194"/>
      <x:c r="V8" s="1194"/>
      <x:c r="W8" s="1194"/>
      <x:c r="X8" s="1194"/>
      <x:c r="Y8" s="339"/>
      <x:c r="Z8" s="339"/>
    </x:row>
    <x:row r="9">
      <x:c r="A9" s="288" t="str">
        <x:v>Critical</x:v>
      </x:c>
      <x:c r="B9" s="28" t="str">
        <x:v>Tax, benefit and family-income interactions</x:v>
      </x:c>
      <x:c r="C9" s="28" t="str">
        <x:v>Not modelled</x:v>
      </x:c>
      <x:c r="D9" s="28" t="str">
        <x:v>IRD, MSD and legal advice on treatment of accessible and locked amounts</x:v>
      </x:c>
      <x:c r="E9" s="28" t="str">
        <x:v>IRD / MSD / Crown Law or external counsel</x:v>
      </x:c>
      <x:c r="F9" s="28" t="str">
        <x:v>Year 0 business case</x:v>
      </x:c>
      <x:c r="G9" s="290" t="str">
        <x:v>OPEN</x:v>
      </x:c>
      <x:c r="H9" s="339"/>
      <x:c r="I9" s="339"/>
      <x:c r="J9" s="339"/>
      <x:c r="K9" s="339"/>
      <x:c r="L9" s="339"/>
      <x:c r="M9" s="339"/>
      <x:c r="N9" s="339"/>
      <x:c r="O9" s="339"/>
      <x:c r="P9" s="339"/>
      <x:c r="Q9" s="339"/>
      <x:c r="R9" s="339"/>
      <x:c r="S9" s="339"/>
      <x:c r="T9" s="339"/>
      <x:c r="U9" s="1194"/>
      <x:c r="V9" s="1194"/>
      <x:c r="W9" s="1194"/>
      <x:c r="X9" s="1194"/>
      <x:c r="Y9" s="339"/>
      <x:c r="Z9" s="339"/>
    </x:row>
    <x:row r="10">
      <x:c r="A10" s="288" t="str">
        <x:v>Critical</x:v>
      </x:c>
      <x:c r="B10" s="28" t="str">
        <x:v>Technology architecture and build-vs-buy</x:v>
      </x:c>
      <x:c r="C10" s="28" t="str">
        <x:v>Professional-hours allowance</x:v>
      </x:c>
      <x:c r="D10" s="28" t="str">
        <x:v>Reference architecture, privacy/security classification, vendor discovery and competitive quotes</x:v>
      </x:c>
      <x:c r="E10" s="28" t="str">
        <x:v>Government digital lead / procurement</x:v>
      </x:c>
      <x:c r="F10" s="28" t="str">
        <x:v>Before pilot procurement</x:v>
      </x:c>
      <x:c r="G10" s="290" t="str">
        <x:v>OPEN</x:v>
      </x:c>
      <x:c r="H10" s="339"/>
      <x:c r="I10" s="339"/>
      <x:c r="J10" s="339"/>
      <x:c r="K10" s="339"/>
      <x:c r="L10" s="339"/>
      <x:c r="M10" s="339"/>
      <x:c r="N10" s="339"/>
      <x:c r="O10" s="339"/>
      <x:c r="P10" s="339"/>
      <x:c r="Q10" s="339"/>
      <x:c r="R10" s="339"/>
      <x:c r="S10" s="339"/>
      <x:c r="T10" s="339"/>
      <x:c r="U10" s="1194"/>
      <x:c r="V10" s="1194"/>
      <x:c r="W10" s="1194"/>
      <x:c r="X10" s="1194"/>
      <x:c r="Y10" s="339"/>
      <x:c r="Z10" s="339"/>
    </x:row>
    <x:row r="11">
      <x:c r="A11" s="288" t="str">
        <x:v>Critical</x:v>
      </x:c>
      <x:c r="B11" s="28" t="str">
        <x:v>Independent evaluation cost and design</x:v>
      </x:c>
      <x:c r="C11" s="28" t="str">
        <x:v>Hours-based allowance</x:v>
      </x:c>
      <x:c r="D11" s="28" t="str">
        <x:v>Competitive evaluator proposal, power calculation, ethics, data linkage and long-term follow-up plan</x:v>
      </x:c>
      <x:c r="E11" s="28" t="str">
        <x:v>Independent evaluator</x:v>
      </x:c>
      <x:c r="F11" s="28" t="str">
        <x:v>Year 0 business case</x:v>
      </x:c>
      <x:c r="G11" s="290" t="str">
        <x:v>OPEN</x:v>
      </x:c>
      <x:c r="H11" s="339"/>
      <x:c r="I11" s="339"/>
      <x:c r="J11" s="339"/>
      <x:c r="K11" s="339"/>
      <x:c r="L11" s="339"/>
      <x:c r="M11" s="339"/>
      <x:c r="N11" s="339"/>
      <x:c r="O11" s="339"/>
      <x:c r="P11" s="339"/>
      <x:c r="Q11" s="339"/>
      <x:c r="R11" s="339"/>
      <x:c r="S11" s="339"/>
      <x:c r="T11" s="339"/>
      <x:c r="U11" s="1194"/>
      <x:c r="V11" s="1194"/>
      <x:c r="W11" s="1194"/>
      <x:c r="X11" s="1194"/>
      <x:c r="Y11" s="339"/>
      <x:c r="Z11" s="339"/>
    </x:row>
    <x:row r="12">
      <x:c r="A12" s="288" t="str">
        <x:v>High</x:v>
      </x:c>
      <x:c r="B12" s="28" t="str">
        <x:v>School coordinator ratio and workload</x:v>
      </x:c>
      <x:c r="C12" s="28" t="str">
        <x:v>1 FTE per 500 pilot / 600 national</x:v>
      </x:c>
      <x:c r="D12" s="28" t="str">
        <x:v>Time-and-motion testing in schools; union, principal and coordinator feedback</x:v>
      </x:c>
      <x:c r="E12" s="28" t="str">
        <x:v>Ministry of Education + schools</x:v>
      </x:c>
      <x:c r="F12" s="28" t="str">
        <x:v>Year 0 readiness gate</x:v>
      </x:c>
      <x:c r="G12" s="290" t="str">
        <x:v>OPEN</x:v>
      </x:c>
      <x:c r="H12" s="339"/>
      <x:c r="I12" s="339"/>
      <x:c r="J12" s="339"/>
      <x:c r="K12" s="339"/>
      <x:c r="L12" s="339"/>
      <x:c r="M12" s="339"/>
      <x:c r="N12" s="339"/>
      <x:c r="O12" s="339"/>
      <x:c r="P12" s="339"/>
      <x:c r="Q12" s="339"/>
      <x:c r="R12" s="339"/>
      <x:c r="S12" s="339"/>
      <x:c r="T12" s="339"/>
      <x:c r="U12" s="1194"/>
      <x:c r="V12" s="1194"/>
      <x:c r="W12" s="1194"/>
      <x:c r="X12" s="1194"/>
      <x:c r="Y12" s="339"/>
      <x:c r="Z12" s="339"/>
    </x:row>
    <x:row r="13">
      <x:c r="A13" s="288" t="str">
        <x:v>High</x:v>
      </x:c>
      <x:c r="B13" s="28" t="str">
        <x:v>School capacity grants</x:v>
      </x:c>
      <x:c r="C13" s="28" t="str">
        <x:v>$100k treatment / $30k comparison; $80k national</x:v>
      </x:c>
      <x:c r="D13" s="28" t="str">
        <x:v>School-level implementation budgets and burden estimates</x:v>
      </x:c>
      <x:c r="E13" s="28" t="str">
        <x:v>Participating schools</x:v>
      </x:c>
      <x:c r="F13" s="28" t="str">
        <x:v>Before school agreements</x:v>
      </x:c>
      <x:c r="G13" s="290" t="str">
        <x:v>OPEN</x:v>
      </x:c>
      <x:c r="H13" s="339"/>
      <x:c r="I13" s="339"/>
      <x:c r="J13" s="339"/>
      <x:c r="K13" s="339"/>
      <x:c r="L13" s="339"/>
      <x:c r="M13" s="339"/>
      <x:c r="N13" s="339"/>
      <x:c r="O13" s="339"/>
      <x:c r="P13" s="339"/>
      <x:c r="Q13" s="339"/>
      <x:c r="R13" s="339"/>
      <x:c r="S13" s="339"/>
      <x:c r="T13" s="339"/>
      <x:c r="U13" s="1194"/>
      <x:c r="V13" s="1194"/>
      <x:c r="W13" s="1194"/>
      <x:c r="X13" s="1194"/>
      <x:c r="Y13" s="339"/>
      <x:c r="Z13" s="339"/>
    </x:row>
    <x:row r="14">
      <x:c r="A14" s="288" t="str">
        <x:v>High</x:v>
      </x:c>
      <x:c r="B14" s="28" t="str">
        <x:v>Cultural co-design cost and decision rights</x:v>
      </x:c>
      <x:c r="C14" s="28" t="str">
        <x:v>Partner-led allowances</x:v>
      </x:c>
      <x:c r="D14" s="28" t="str">
        <x:v>Budgets and governance agreements developed with iwi, Pacific, youth and disability partners</x:v>
      </x:c>
      <x:c r="E14" s="28" t="str">
        <x:v>Named partners</x:v>
      </x:c>
      <x:c r="F14" s="28" t="str">
        <x:v>Before final Year 0 budget</x:v>
      </x:c>
      <x:c r="G14" s="290" t="str">
        <x:v>OPEN</x:v>
      </x:c>
      <x:c r="H14" s="339"/>
      <x:c r="I14" s="339"/>
      <x:c r="J14" s="339"/>
      <x:c r="K14" s="339"/>
      <x:c r="L14" s="339"/>
      <x:c r="M14" s="339"/>
      <x:c r="N14" s="339"/>
      <x:c r="O14" s="339"/>
      <x:c r="P14" s="339"/>
      <x:c r="Q14" s="339"/>
      <x:c r="R14" s="339"/>
      <x:c r="S14" s="339"/>
      <x:c r="T14" s="339"/>
      <x:c r="U14" s="1194"/>
      <x:c r="V14" s="1194"/>
      <x:c r="W14" s="1194"/>
      <x:c r="X14" s="1194"/>
      <x:c r="Y14" s="339"/>
      <x:c r="Z14" s="339"/>
    </x:row>
    <x:row r="15">
      <x:c r="A15" s="288" t="str">
        <x:v>High</x:v>
      </x:c>
      <x:c r="B15" s="28" t="str">
        <x:v>Police vetting numbers and future fee</x:v>
      </x:c>
      <x:c r="C15" s="28" t="str">
        <x:v>300–400 pilot checks at current fee</x:v>
      </x:c>
      <x:c r="D15" s="28" t="str">
        <x:v>Mentor model, authorised-agency status and confirmed 2027 fee</x:v>
      </x:c>
      <x:c r="E15" s="28" t="str">
        <x:v>Programme safeguarding lead</x:v>
      </x:c>
      <x:c r="F15" s="28" t="str">
        <x:v>Before mentor recruitment</x:v>
      </x:c>
      <x:c r="G15" s="290" t="str">
        <x:v>OPEN</x:v>
      </x:c>
      <x:c r="H15" s="339"/>
      <x:c r="I15" s="339"/>
      <x:c r="J15" s="339"/>
      <x:c r="K15" s="339"/>
      <x:c r="L15" s="339"/>
      <x:c r="M15" s="339"/>
      <x:c r="N15" s="339"/>
      <x:c r="O15" s="339"/>
      <x:c r="P15" s="339"/>
      <x:c r="Q15" s="339"/>
      <x:c r="R15" s="339"/>
      <x:c r="S15" s="339"/>
      <x:c r="T15" s="339"/>
      <x:c r="U15" s="1194"/>
      <x:c r="V15" s="1194"/>
      <x:c r="W15" s="1194"/>
      <x:c r="X15" s="1194"/>
      <x:c r="Y15" s="339"/>
      <x:c r="Z15" s="339"/>
    </x:row>
    <x:row r="16">
      <x:c r="A16" s="288" t="str">
        <x:v>High</x:v>
      </x:c>
      <x:c r="B16" s="28" t="str">
        <x:v>National school count and rollout sequence</x:v>
      </x:c>
      <x:c r="C16" s="28" t="str">
        <x:v>500-school proxy and 5-year ramp</x:v>
      </x:c>
      <x:c r="D16" s="28" t="str">
        <x:v>Exact eligible school count, regional capacity and implementation schedule</x:v>
      </x:c>
      <x:c r="E16" s="28" t="str">
        <x:v>Ministry of Education / Cabinet</x:v>
      </x:c>
      <x:c r="F16" s="28" t="str">
        <x:v>Before scale decision</x:v>
      </x:c>
      <x:c r="G16" s="290" t="str">
        <x:v>OPEN</x:v>
      </x:c>
      <x:c r="H16" s="339"/>
      <x:c r="I16" s="339"/>
      <x:c r="J16" s="339"/>
      <x:c r="K16" s="339"/>
      <x:c r="L16" s="339"/>
      <x:c r="M16" s="339"/>
      <x:c r="N16" s="339"/>
      <x:c r="O16" s="339"/>
      <x:c r="P16" s="339"/>
      <x:c r="Q16" s="339"/>
      <x:c r="R16" s="339"/>
      <x:c r="S16" s="339"/>
      <x:c r="T16" s="339"/>
      <x:c r="U16" s="1194"/>
      <x:c r="V16" s="1194"/>
      <x:c r="W16" s="1194"/>
      <x:c r="X16" s="1194"/>
      <x:c r="Y16" s="339"/>
      <x:c r="Z16" s="339"/>
    </x:row>
    <x:row r="17">
      <x:c r="A17" s="288" t="str">
        <x:v>High</x:v>
      </x:c>
      <x:c r="B17" s="28" t="str">
        <x:v>Pacheco &amp; Dye lifetime multiplier</x:v>
      </x:c>
      <x:c r="C17" s="28" t="str">
        <x:v>9.6 UK multiplier retained only for sensitivity</x:v>
      </x:c>
      <x:c r="D17" s="28" t="str">
        <x:v>NZ-specific longitudinal fiscal/earnings model or Treasury-approved alternative</x:v>
      </x:c>
      <x:c r="E17" s="28" t="str">
        <x:v>Treasury / independent economists</x:v>
      </x:c>
      <x:c r="F17" s="28" t="str">
        <x:v>Before any self-funding claim</x:v>
      </x:c>
      <x:c r="G17" s="290" t="str">
        <x:v>OPEN</x:v>
      </x:c>
      <x:c r="H17" s="339"/>
      <x:c r="I17" s="339"/>
      <x:c r="J17" s="339"/>
      <x:c r="K17" s="339"/>
      <x:c r="L17" s="339"/>
      <x:c r="M17" s="339"/>
      <x:c r="N17" s="339"/>
      <x:c r="O17" s="339"/>
      <x:c r="P17" s="339"/>
      <x:c r="Q17" s="339"/>
      <x:c r="R17" s="339"/>
      <x:c r="S17" s="339"/>
      <x:c r="T17" s="339"/>
      <x:c r="U17" s="1194"/>
      <x:c r="V17" s="1194"/>
      <x:c r="W17" s="1194"/>
      <x:c r="X17" s="1194"/>
      <x:c r="Y17" s="339"/>
      <x:c r="Z17" s="339"/>
    </x:row>
    <x:row r="18">
      <x:c r="A18" s="288" t="str">
        <x:v>High</x:v>
      </x:c>
      <x:c r="B18" s="28" t="str">
        <x:v>Pacheco &amp; Dye lifetime multiplier</x:v>
      </x:c>
      <x:c r="C18" s="28" t="str">
        <x:v>9.6 international multiplier retained only for sensitivity</x:v>
      </x:c>
      <x:c r="D18" s="28" t="str">
        <x:v>New Zealand-specific longitudinal fiscal and earnings model or Treasury-approved alternative</x:v>
      </x:c>
      <x:c r="E18" s="28" t="str">
        <x:v>Evaluator / Treasury / justice &amp; health agencies</x:v>
      </x:c>
      <x:c r="F18" s="28" t="str">
        <x:v>Before including benefits</x:v>
      </x:c>
      <x:c r="G18" s="290" t="str">
        <x:v>OPEN</x:v>
      </x:c>
      <x:c r="H18" s="339"/>
      <x:c r="I18" s="339"/>
      <x:c r="J18" s="339"/>
      <x:c r="K18" s="339"/>
      <x:c r="L18" s="339"/>
      <x:c r="M18" s="339"/>
      <x:c r="N18" s="339"/>
      <x:c r="O18" s="339"/>
      <x:c r="P18" s="339"/>
      <x:c r="Q18" s="339"/>
      <x:c r="R18" s="339"/>
      <x:c r="S18" s="339"/>
      <x:c r="T18" s="339"/>
      <x:c r="U18" s="1194"/>
      <x:c r="V18" s="1194"/>
      <x:c r="W18" s="1194"/>
      <x:c r="X18" s="1194"/>
      <x:c r="Y18" s="339"/>
      <x:c r="Z18" s="339"/>
    </x:row>
    <x:row r="19">
      <x:c r="A19" s="288" t="str">
        <x:v>High</x:v>
      </x:c>
      <x:c r="B19" s="28" t="str">
        <x:v>Inflation uplift</x:v>
      </x:c>
      <x:c r="C19" s="28" t="str">
        <x:v>1.39 central planning factor</x:v>
      </x:c>
      <x:c r="D19" s="28" t="str">
        <x:v>RBNZ calculator screenshot/output on final model date</x:v>
      </x:c>
      <x:c r="E19" s="28" t="str">
        <x:v>Finance lead</x:v>
      </x:c>
      <x:c r="F19" s="28" t="str">
        <x:v>Before publication</x:v>
      </x:c>
      <x:c r="G19" s="290" t="str">
        <x:v>OPEN</x:v>
      </x:c>
      <x:c r="H19" s="339"/>
      <x:c r="I19" s="339"/>
      <x:c r="J19" s="339"/>
      <x:c r="K19" s="339"/>
      <x:c r="L19" s="339"/>
      <x:c r="M19" s="339"/>
      <x:c r="N19" s="339"/>
      <x:c r="O19" s="339"/>
      <x:c r="P19" s="339"/>
      <x:c r="Q19" s="339"/>
      <x:c r="R19" s="339"/>
      <x:c r="S19" s="339"/>
      <x:c r="T19" s="339"/>
      <x:c r="U19" s="1194"/>
      <x:c r="V19" s="1194"/>
      <x:c r="W19" s="1194"/>
      <x:c r="X19" s="1194"/>
      <x:c r="Y19" s="339"/>
      <x:c r="Z19" s="339"/>
    </x:row>
    <x:row r="20">
      <x:c r="A20" s="288" t="str">
        <x:v>Medium</x:v>
      </x:c>
      <x:c r="B20" s="28" t="str">
        <x:v>GST and accounting treatment</x:v>
      </x:c>
      <x:c r="C20" s="28" t="str">
        <x:v>Not separately modelled</x:v>
      </x:c>
      <x:c r="D20" s="28" t="str">
        <x:v>Confirm whether budgets are GST-exclusive and treatment of locked accounts/liabilities</x:v>
      </x:c>
      <x:c r="E20" s="28" t="str">
        <x:v>Finance lead / Treasury</x:v>
      </x:c>
      <x:c r="F20" s="28" t="str">
        <x:v>Year 0 business case</x:v>
      </x:c>
      <x:c r="G20" s="290" t="str">
        <x:v>OPEN</x:v>
      </x:c>
      <x:c r="H20" s="339"/>
      <x:c r="I20" s="339"/>
      <x:c r="J20" s="339"/>
      <x:c r="K20" s="339"/>
      <x:c r="L20" s="339"/>
      <x:c r="M20" s="339"/>
      <x:c r="N20" s="339"/>
      <x:c r="O20" s="339"/>
      <x:c r="P20" s="339"/>
      <x:c r="Q20" s="339"/>
      <x:c r="R20" s="339"/>
      <x:c r="S20" s="339"/>
      <x:c r="T20" s="339"/>
      <x:c r="U20" s="1194"/>
      <x:c r="V20" s="1194"/>
      <x:c r="W20" s="1194"/>
      <x:c r="X20" s="1194"/>
      <x:c r="Y20" s="339"/>
      <x:c r="Z20" s="339"/>
    </x:row>
    <x:row r="21">
      <x:c r="A21" s="288" t="str">
        <x:v>Medium</x:v>
      </x:c>
      <x:c r="B21" s="28" t="str">
        <x:v>Contingency and risk valuation</x:v>
      </x:c>
      <x:c r="C21" s="28" t="str">
        <x:v>Percentage allowances</x:v>
      </x:c>
      <x:c r="D21" s="28" t="str">
        <x:v>Quantified risk register / Monte Carlo or Treasury-approved risk method</x:v>
      </x:c>
      <x:c r="E21" s="28" t="str">
        <x:v>Finance/commercial lead</x:v>
      </x:c>
      <x:c r="F21" s="28" t="str">
        <x:v>Before funding approval</x:v>
      </x:c>
      <x:c r="G21" s="290" t="str">
        <x:v>OPEN</x:v>
      </x:c>
      <x:c r="H21" s="339"/>
      <x:c r="I21" s="339"/>
      <x:c r="J21" s="339"/>
      <x:c r="K21" s="339"/>
      <x:c r="L21" s="339"/>
      <x:c r="M21" s="339"/>
      <x:c r="N21" s="339"/>
      <x:c r="O21" s="339"/>
      <x:c r="P21" s="339"/>
      <x:c r="Q21" s="339"/>
      <x:c r="R21" s="339"/>
      <x:c r="S21" s="339"/>
      <x:c r="T21" s="339"/>
      <x:c r="U21" s="1194"/>
      <x:c r="V21" s="1194"/>
      <x:c r="W21" s="1194"/>
      <x:c r="X21" s="1194"/>
      <x:c r="Y21" s="339"/>
      <x:c r="Z21" s="339"/>
    </x:row>
    <x:row r="22">
      <x:c r="A22" s="288" t="str">
        <x:v>Medium</x:v>
      </x:c>
      <x:c r="B22" s="28" t="str">
        <x:v>Governance fees</x:v>
      </x:c>
      <x:c r="C22" s="28" t="str">
        <x:v>$250k pilot allowance</x:v>
      </x:c>
      <x:c r="D22" s="28" t="str">
        <x:v>Cabinet Fees Framework classification, days, travel and secretariat workload</x:v>
      </x:c>
      <x:c r="E22" s="28" t="str">
        <x:v>Responsible Minister / agency</x:v>
      </x:c>
      <x:c r="F22" s="28" t="str">
        <x:v>Before appointments</x:v>
      </x:c>
      <x:c r="G22" s="290" t="str">
        <x:v>OPEN</x:v>
      </x:c>
      <x:c r="H22" s="339"/>
      <x:c r="I22" s="339"/>
      <x:c r="J22" s="339"/>
      <x:c r="K22" s="339"/>
      <x:c r="L22" s="339"/>
      <x:c r="M22" s="339"/>
      <x:c r="N22" s="339"/>
      <x:c r="O22" s="339"/>
      <x:c r="P22" s="339"/>
      <x:c r="Q22" s="339"/>
      <x:c r="R22" s="339"/>
      <x:c r="S22" s="339"/>
      <x:c r="T22" s="339"/>
      <x:c r="U22" s="1194"/>
      <x:c r="V22" s="1194"/>
      <x:c r="W22" s="1194"/>
      <x:c r="X22" s="1194"/>
      <x:c r="Y22" s="339"/>
      <x:c r="Z22" s="339"/>
    </x:row>
    <x:row r="23">
      <x:c r="A23" s="288" t="str">
        <x:v>Critical</x:v>
      </x:c>
      <x:c r="B23" s="28" t="str">
        <x:v>Legal and beneficial ownership</x:v>
      </x:c>
      <x:c r="C23" s="28" t="str">
        <x:v>No legal form is assumed</x:v>
      </x:c>
      <x:c r="D23" s="28" t="str">
        <x:v>Advice on legal owner, beneficial owner, Crown control, vesting, insolvency protection and participant rights</x:v>
      </x:c>
      <x:c r="E23" s="28" t="str">
        <x:v>Crown legal/accounting lead</x:v>
      </x:c>
      <x:c r="F23" s="28" t="str">
        <x:v>Year 0 business case</x:v>
      </x:c>
      <x:c r="G23" s="684" t="str">
        <x:v>OPEN</x:v>
      </x:c>
      <x:c r="H23" s="339"/>
      <x:c r="I23" s="339"/>
      <x:c r="J23" s="339"/>
      <x:c r="K23" s="339"/>
      <x:c r="L23" s="339"/>
      <x:c r="M23" s="339"/>
      <x:c r="N23" s="339"/>
      <x:c r="O23" s="339"/>
      <x:c r="P23" s="339"/>
      <x:c r="Q23" s="339"/>
      <x:c r="R23" s="339"/>
      <x:c r="S23" s="339"/>
      <x:c r="T23" s="339"/>
      <x:c r="U23" s="1194"/>
      <x:c r="V23" s="1194"/>
      <x:c r="W23" s="1194"/>
      <x:c r="X23" s="1194"/>
      <x:c r="Y23" s="339"/>
      <x:c r="Z23" s="339"/>
    </x:row>
    <x:row r="24">
      <x:c r="A24" s="288" t="str">
        <x:v>Critical</x:v>
      </x:c>
      <x:c r="B24" s="28" t="str">
        <x:v>Public-sector accounting treatment</x:v>
      </x:c>
      <x:c r="C24" s="28" t="str">
        <x:v>Deposits are treated as expenditure in the cost model</x:v>
      </x:c>
      <x:c r="D24" s="28" t="str">
        <x:v>PBE accounting advice on expense, asset, liability, trust and consolidation treatment</x:v>
      </x:c>
      <x:c r="E24" s="28" t="str">
        <x:v>Treasury / agency CFO / external accounting adviser</x:v>
      </x:c>
      <x:c r="F24" s="28" t="str">
        <x:v>Year 0 business case</x:v>
      </x:c>
      <x:c r="G24" s="684" t="str">
        <x:v>OPEN</x:v>
      </x:c>
      <x:c r="H24" s="339"/>
      <x:c r="I24" s="339"/>
      <x:c r="J24" s="339"/>
      <x:c r="K24" s="339"/>
      <x:c r="L24" s="339"/>
      <x:c r="M24" s="339"/>
      <x:c r="N24" s="339"/>
      <x:c r="O24" s="339"/>
      <x:c r="P24" s="339"/>
      <x:c r="Q24" s="339"/>
      <x:c r="R24" s="339"/>
      <x:c r="S24" s="339"/>
      <x:c r="T24" s="339"/>
      <x:c r="U24" s="1194"/>
      <x:c r="V24" s="1194"/>
      <x:c r="W24" s="1194"/>
      <x:c r="X24" s="1194"/>
      <x:c r="Y24" s="339"/>
      <x:c r="Z24" s="339"/>
    </x:row>
    <x:row r="25">
      <x:c r="A25" s="288" t="str">
        <x:v>Critical</x:v>
      </x:c>
      <x:c r="B25" s="28" t="str">
        <x:v>Investment mandate and market-loss allocation</x:v>
      </x:c>
      <x:c r="C25" s="28" t="str">
        <x:v>2%, 4% and 6% net returns plus downturn sensitivity</x:v>
      </x:c>
      <x:c r="D25" s="28" t="str">
        <x:v>Statement of investment policy, risk limits, lifecycle de-risking, loss allocation and disclosures</x:v>
      </x:c>
      <x:c r="E25" s="28" t="str">
        <x:v>Investment governance body</x:v>
      </x:c>
      <x:c r="F25" s="28" t="str">
        <x:v>Before provider procurement</x:v>
      </x:c>
      <x:c r="G25" s="684" t="str">
        <x:v>OPEN</x:v>
      </x:c>
      <x:c r="H25" s="339"/>
      <x:c r="I25" s="339"/>
      <x:c r="J25" s="339"/>
      <x:c r="K25" s="339"/>
      <x:c r="L25" s="339"/>
      <x:c r="M25" s="339"/>
      <x:c r="N25" s="339"/>
      <x:c r="O25" s="339"/>
      <x:c r="P25" s="339"/>
      <x:c r="Q25" s="339"/>
      <x:c r="R25" s="339"/>
      <x:c r="S25" s="339"/>
      <x:c r="T25" s="339"/>
      <x:c r="U25" s="1194"/>
      <x:c r="V25" s="1194"/>
      <x:c r="W25" s="1194"/>
      <x:c r="X25" s="1194"/>
      <x:c r="Y25" s="339"/>
      <x:c r="Z25" s="339"/>
    </x:row>
    <x:row r="26">
      <x:c r="A26" s="288" t="str">
        <x:v>Critical</x:v>
      </x:c>
      <x:c r="B26" s="28" t="str">
        <x:v>Provider, supervisor and custodian procurement</x:v>
      </x:c>
      <x:c r="C26" s="28" t="str">
        <x:v>No provider is endorsed</x:v>
      </x:c>
      <x:c r="D26" s="28" t="str">
        <x:v>Competitive regulated-provider procurement, custody, reporting, fee tiers and exit arrangements</x:v>
      </x:c>
      <x:c r="E26" s="28" t="str">
        <x:v>Commercial lead / FMA-informed legal adviser</x:v>
      </x:c>
      <x:c r="F26" s="28" t="str">
        <x:v>Before pilot contracting</x:v>
      </x:c>
      <x:c r="G26" s="684" t="str">
        <x:v>OPEN</x:v>
      </x:c>
      <x:c r="H26" s="339"/>
      <x:c r="I26" s="339"/>
      <x:c r="J26" s="339"/>
      <x:c r="K26" s="339"/>
      <x:c r="L26" s="339"/>
      <x:c r="M26" s="339"/>
      <x:c r="N26" s="339"/>
      <x:c r="O26" s="339"/>
      <x:c r="P26" s="339"/>
      <x:c r="Q26" s="339"/>
      <x:c r="R26" s="339"/>
      <x:c r="S26" s="339"/>
      <x:c r="T26" s="339"/>
      <x:c r="U26" s="1194"/>
      <x:c r="V26" s="1194"/>
      <x:c r="W26" s="1194"/>
      <x:c r="X26" s="1194"/>
      <x:c r="Y26" s="339"/>
      <x:c r="Z26" s="339"/>
    </x:row>
    <x:row r="27">
      <x:c r="A27" s="288" t="str">
        <x:v>Critical</x:v>
      </x:c>
      <x:c r="B27" s="28" t="str">
        <x:v>Investment fees and tax</x:v>
      </x:c>
      <x:c r="C27" s="28" t="str">
        <x:v>Scenario fee and effective tax drag</x:v>
      </x:c>
      <x:c r="D27" s="28" t="str">
        <x:v>Provider quotes and IRD/legal advice for the chosen ownership structure</x:v>
      </x:c>
      <x:c r="E27" s="28" t="str">
        <x:v>Tax and commercial advisers</x:v>
      </x:c>
      <x:c r="F27" s="28" t="str">
        <x:v>Year 0 business case</x:v>
      </x:c>
      <x:c r="G27" s="684" t="str">
        <x:v>OPEN</x:v>
      </x:c>
      <x:c r="H27" s="339"/>
      <x:c r="I27" s="339"/>
      <x:c r="J27" s="339"/>
      <x:c r="K27" s="339"/>
      <x:c r="L27" s="339"/>
      <x:c r="M27" s="339"/>
      <x:c r="N27" s="339"/>
      <x:c r="O27" s="339"/>
      <x:c r="P27" s="339"/>
      <x:c r="Q27" s="339"/>
      <x:c r="R27" s="339"/>
      <x:c r="S27" s="339"/>
      <x:c r="T27" s="339"/>
      <x:c r="U27" s="1194"/>
      <x:c r="V27" s="1194"/>
      <x:c r="W27" s="1194"/>
      <x:c r="X27" s="1194"/>
      <x:c r="Y27" s="339"/>
      <x:c r="Z27" s="339"/>
    </x:row>
    <x:row r="28">
      <x:c r="A28" s="288" t="str">
        <x:v>Critical</x:v>
      </x:c>
      <x:c r="B28" s="28" t="str">
        <x:v>Student-loan displacement</x:v>
      </x:c>
      <x:c r="C28" s="28" t="str">
        <x:v>Expected borrowing probability and displacement factor are unsupported</x:v>
      </x:c>
      <x:c r="D28" s="28" t="str">
        <x:v>Linked-data baseline and participant-level counterfactual evaluation</x:v>
      </x:c>
      <x:c r="E28" s="28" t="str">
        <x:v>Independent evaluator / MSD / IR</x:v>
      </x:c>
      <x:c r="F28" s="28" t="str">
        <x:v>Before fiscal-offset claim</x:v>
      </x:c>
      <x:c r="G28" s="684" t="str">
        <x:v>OPEN</x:v>
      </x:c>
      <x:c r="H28" s="339"/>
      <x:c r="I28" s="339"/>
      <x:c r="J28" s="339"/>
      <x:c r="K28" s="339"/>
      <x:c r="L28" s="339"/>
      <x:c r="M28" s="339"/>
      <x:c r="N28" s="339"/>
      <x:c r="O28" s="339"/>
      <x:c r="P28" s="339"/>
      <x:c r="Q28" s="339"/>
      <x:c r="R28" s="339"/>
      <x:c r="S28" s="339"/>
      <x:c r="T28" s="339"/>
      <x:c r="U28" s="1194"/>
      <x:c r="V28" s="1194"/>
      <x:c r="W28" s="1194"/>
      <x:c r="X28" s="1194"/>
      <x:c r="Y28" s="339"/>
      <x:c r="Z28" s="339"/>
    </x:row>
    <x:row r="29">
      <x:c r="A29" s="288" t="str">
        <x:v>Critical</x:v>
      </x:c>
      <x:c r="B29" s="28" t="str">
        <x:v>Student-loan fair-value methodology</x:v>
      </x:c>
      <x:c r="C29" s="28" t="str">
        <x:v>Official 34.24% rate used centrally</x:v>
      </x:c>
      <x:c r="D29" s="28" t="str">
        <x:v>Actuarial confirmation that the avoided-lending application is valid for the participant mix and timing</x:v>
      </x:c>
      <x:c r="E29" s="28" t="str">
        <x:v>Ministry of Education / Treasury / external actuary</x:v>
      </x:c>
      <x:c r="F29" s="28" t="str">
        <x:v>Before pilot business case sign-off</x:v>
      </x:c>
      <x:c r="G29" s="684" t="str">
        <x:v>OPEN</x:v>
      </x:c>
      <x:c r="H29" s="339"/>
      <x:c r="I29" s="339"/>
      <x:c r="J29" s="339"/>
      <x:c r="K29" s="339"/>
      <x:c r="L29" s="339"/>
      <x:c r="M29" s="339"/>
      <x:c r="N29" s="339"/>
      <x:c r="O29" s="339"/>
      <x:c r="P29" s="339"/>
      <x:c r="Q29" s="339"/>
      <x:c r="R29" s="339"/>
      <x:c r="S29" s="339"/>
      <x:c r="T29" s="339"/>
      <x:c r="U29" s="1194"/>
      <x:c r="V29" s="1194"/>
      <x:c r="W29" s="1194"/>
      <x:c r="X29" s="1194"/>
      <x:c r="Y29" s="339"/>
      <x:c r="Z29" s="339"/>
    </x:row>
    <x:row r="30">
      <x:c r="A30" s="288" t="str">
        <x:v>High</x:v>
      </x:c>
      <x:c r="B30" s="28" t="str">
        <x:v>Inflation and discount curves</x:v>
      </x:c>
      <x:c r="C30" s="28" t="str">
        <x:v>30 June 2026 Treasury curves used</x:v>
      </x:c>
      <x:c r="D30" s="28" t="str">
        <x:v>Confirm auditor status and refresh at valuation date</x:v>
      </x:c>
      <x:c r="E30" s="28" t="str">
        <x:v>Finance lead / Treasury</x:v>
      </x:c>
      <x:c r="F30" s="28" t="str">
        <x:v>Before publication and each funding gate</x:v>
      </x:c>
      <x:c r="G30" s="684" t="str">
        <x:v>OPEN</x:v>
      </x:c>
      <x:c r="H30" s="339"/>
      <x:c r="I30" s="339"/>
      <x:c r="J30" s="339"/>
      <x:c r="K30" s="339"/>
      <x:c r="L30" s="339"/>
      <x:c r="M30" s="339"/>
      <x:c r="N30" s="339"/>
      <x:c r="O30" s="339"/>
      <x:c r="P30" s="339"/>
      <x:c r="Q30" s="339"/>
      <x:c r="R30" s="339"/>
      <x:c r="S30" s="339"/>
      <x:c r="T30" s="339"/>
      <x:c r="U30" s="1194"/>
      <x:c r="V30" s="1194"/>
      <x:c r="W30" s="1194"/>
      <x:c r="X30" s="1194"/>
      <x:c r="Y30" s="339"/>
      <x:c r="Z30" s="339"/>
    </x:row>
    <x:row r="31">
      <x:c r="A31" s="288" t="str">
        <x:v>High</x:v>
      </x:c>
      <x:c r="B31" s="28" t="str">
        <x:v>Repayment timing and overseas-borrower mix</x:v>
      </x:c>
      <x:c r="C31" s="28" t="str">
        <x:v>Official benchmarks plus scenario assumptions</x:v>
      </x:c>
      <x:c r="D31" s="28" t="str">
        <x:v>Target-cohort repayment distribution and migration/overseas-borrower evidence</x:v>
      </x:c>
      <x:c r="E31" s="28" t="str">
        <x:v>Independent evaluator / IR</x:v>
      </x:c>
      <x:c r="F31" s="28" t="str">
        <x:v>Before long-run offset claim</x:v>
      </x:c>
      <x:c r="G31" s="684" t="str">
        <x:v>OPEN</x:v>
      </x:c>
      <x:c r="H31" s="339"/>
      <x:c r="I31" s="339"/>
      <x:c r="J31" s="339"/>
      <x:c r="K31" s="339"/>
      <x:c r="L31" s="339"/>
      <x:c r="M31" s="339"/>
      <x:c r="N31" s="339"/>
      <x:c r="O31" s="339"/>
      <x:c r="P31" s="339"/>
      <x:c r="Q31" s="339"/>
      <x:c r="R31" s="339"/>
      <x:c r="S31" s="339"/>
      <x:c r="T31" s="339"/>
      <x:c r="U31" s="1194"/>
      <x:c r="V31" s="1194"/>
      <x:c r="W31" s="1194"/>
      <x:c r="X31" s="1194"/>
      <x:c r="Y31" s="339"/>
      <x:c r="Z31" s="339"/>
    </x:row>
    <x:row r="32">
      <x:c r="A32" s="288" t="str">
        <x:v>High</x:v>
      </x:c>
      <x:c r="B32" s="28" t="str">
        <x:v>Account utilisation and withdrawal timing</x:v>
      </x:c>
      <x:c r="C32" s="28" t="str">
        <x:v>80% central utilisation and staged schedules</x:v>
      </x:c>
      <x:c r="D32" s="28" t="str">
        <x:v>Pilot transaction data by tertiary, apprenticeship, licence, tools and microcredential use</x:v>
      </x:c>
      <x:c r="E32" s="28" t="str">
        <x:v>Programme operator / evaluator</x:v>
      </x:c>
      <x:c r="F32" s="28" t="str">
        <x:v>Pilot evaluation</x:v>
      </x:c>
      <x:c r="G32" s="684" t="str">
        <x:v>OPEN</x:v>
      </x:c>
      <x:c r="H32" s="339"/>
      <x:c r="I32" s="339"/>
      <x:c r="J32" s="339"/>
      <x:c r="K32" s="339"/>
      <x:c r="L32" s="339"/>
      <x:c r="M32" s="339"/>
      <x:c r="N32" s="339"/>
      <x:c r="O32" s="339"/>
      <x:c r="P32" s="339"/>
      <x:c r="Q32" s="339"/>
      <x:c r="R32" s="339"/>
      <x:c r="S32" s="339"/>
      <x:c r="T32" s="339"/>
      <x:c r="U32" s="1194"/>
      <x:c r="V32" s="1194"/>
      <x:c r="W32" s="1194"/>
      <x:c r="X32" s="1194"/>
      <x:c r="Y32" s="339"/>
      <x:c r="Z32" s="339"/>
    </x:row>
    <x:row r="33">
      <x:c r="A33" s="288" t="str">
        <x:v>High</x:v>
      </x:c>
      <x:c r="B33" s="28" t="str">
        <x:v>Incremental tertiary-system cost</x:v>
      </x:c>
      <x:c r="C33" s="28" t="str">
        <x:v>$8,000 central induced-participant allowance</x:v>
      </x:c>
      <x:c r="D33" s="28" t="str">
        <x:v>Pathway-specific tuition subsidy, provider and apprenticeship funding effects</x:v>
      </x:c>
      <x:c r="E33" s="28" t="str">
        <x:v>TEC / Ministry of Education</x:v>
      </x:c>
      <x:c r="F33" s="28" t="str">
        <x:v>Before net Crown offset claim</x:v>
      </x:c>
      <x:c r="G33" s="684" t="str">
        <x:v>OPEN</x:v>
      </x:c>
      <x:c r="H33" s="339"/>
      <x:c r="I33" s="339"/>
      <x:c r="J33" s="339"/>
      <x:c r="K33" s="339"/>
      <x:c r="L33" s="339"/>
      <x:c r="M33" s="339"/>
      <x:c r="N33" s="339"/>
      <x:c r="O33" s="339"/>
      <x:c r="P33" s="339"/>
      <x:c r="Q33" s="339"/>
      <x:c r="R33" s="339"/>
      <x:c r="S33" s="339"/>
      <x:c r="T33" s="339"/>
      <x:c r="U33" s="1194"/>
      <x:c r="V33" s="1194"/>
      <x:c r="W33" s="1194"/>
      <x:c r="X33" s="1194"/>
      <x:c r="Y33" s="339"/>
      <x:c r="Z33" s="339"/>
    </x:row>
    <x:row r="34">
      <x:c r="A34" s="288" t="str">
        <x:v>High</x:v>
      </x:c>
      <x:c r="B34" s="28" t="str">
        <x:v>Double-counting assurance</x:v>
      </x:c>
      <x:c r="C34" s="28" t="str">
        <x:v>Overlap matrix controls central outputs</x:v>
      </x:c>
      <x:c r="D34" s="28" t="str">
        <x:v>Independent economic review across account, debt, lending, earnings, tax, benefits, health and justice</x:v>
      </x:c>
      <x:c r="E34" s="28" t="str">
        <x:v>Treasury / independent economist</x:v>
      </x:c>
      <x:c r="F34" s="28" t="str">
        <x:v>Before public BCR claim</x:v>
      </x:c>
      <x:c r="G34" s="684" t="str">
        <x:v>OPEN</x:v>
      </x:c>
      <x:c r="H34" s="339"/>
      <x:c r="I34" s="339"/>
      <x:c r="J34" s="339"/>
      <x:c r="K34" s="339"/>
      <x:c r="L34" s="339"/>
      <x:c r="M34" s="339"/>
      <x:c r="N34" s="339"/>
      <x:c r="O34" s="339"/>
      <x:c r="P34" s="339"/>
      <x:c r="Q34" s="339"/>
      <x:c r="R34" s="339"/>
      <x:c r="S34" s="339"/>
      <x:c r="T34" s="339"/>
      <x:c r="U34" s="1194"/>
      <x:c r="V34" s="1194"/>
      <x:c r="W34" s="1194"/>
      <x:c r="X34" s="1194"/>
      <x:c r="Y34" s="339"/>
      <x:c r="Z34" s="339"/>
    </x:row>
    <x:row r="35">
      <x:c r="A35" s="288" t="str">
        <x:v>High</x:v>
      </x:c>
      <x:c r="B35" s="28" t="str">
        <x:v>Marginal Corrections cost</x:v>
      </x:c>
      <x:c r="C35" s="28" t="str">
        <x:v>Cashable rate set to zero</x:v>
      </x:c>
      <x:c r="D35" s="28" t="str">
        <x:v>Capacity-adjusted marginal cost and timing evidence</x:v>
      </x:c>
      <x:c r="E35" s="28" t="str">
        <x:v>Corrections / Treasury</x:v>
      </x:c>
      <x:c r="F35" s="28" t="str">
        <x:v>Before any cash-saving claim</x:v>
      </x:c>
      <x:c r="G35" s="684" t="str">
        <x:v>OPEN</x:v>
      </x:c>
      <x:c r="H35" s="339"/>
      <x:c r="I35" s="339"/>
      <x:c r="J35" s="339"/>
      <x:c r="K35" s="339"/>
      <x:c r="L35" s="339"/>
      <x:c r="M35" s="339"/>
      <x:c r="N35" s="339"/>
      <x:c r="O35" s="339"/>
      <x:c r="P35" s="339"/>
      <x:c r="Q35" s="339"/>
      <x:c r="R35" s="339"/>
      <x:c r="S35" s="339"/>
      <x:c r="T35" s="339"/>
      <x:c r="U35" s="1194"/>
      <x:c r="V35" s="1194"/>
      <x:c r="W35" s="1194"/>
      <x:c r="X35" s="1194"/>
      <x:c r="Y35" s="339"/>
      <x:c r="Z35" s="339"/>
    </x:row>
    <x:row r="36">
      <x:c r="A36" s="288" t="str">
        <x:v>High</x:v>
      </x:c>
      <x:c r="B36" s="28" t="str">
        <x:v>Justice attribution and offence mix</x:v>
      </x:c>
      <x:c r="C36" s="28" t="str">
        <x:v>0% headline; 0.5%, 1%, 2% sensitivity</x:v>
      </x:c>
      <x:c r="D36" s="28" t="str">
        <x:v>Linked-data causal estimate, offence mix, victims, attribution and overlap adjustment</x:v>
      </x:c>
      <x:c r="E36" s="28" t="str">
        <x:v>Independent evaluator / justice agencies</x:v>
      </x:c>
      <x:c r="F36" s="28" t="str">
        <x:v>Before inclusion in BCR</x:v>
      </x:c>
      <x:c r="G36" s="684" t="str">
        <x:v>OPEN</x:v>
      </x:c>
      <x:c r="H36" s="339"/>
      <x:c r="I36" s="339"/>
      <x:c r="J36" s="339"/>
      <x:c r="K36" s="339"/>
      <x:c r="L36" s="339"/>
      <x:c r="M36" s="339"/>
      <x:c r="N36" s="339"/>
      <x:c r="O36" s="339"/>
      <x:c r="P36" s="339"/>
      <x:c r="Q36" s="339"/>
      <x:c r="R36" s="339"/>
      <x:c r="S36" s="339"/>
      <x:c r="T36" s="339"/>
      <x:c r="U36" s="1194"/>
      <x:c r="V36" s="1194"/>
      <x:c r="W36" s="1194"/>
      <x:c r="X36" s="1194"/>
      <x:c r="Y36" s="339"/>
      <x:c r="Z36" s="339"/>
    </x:row>
    <x:row r="37">
      <x:c r="A37" s="339"/>
      <x:c r="B37" s="339"/>
      <x:c r="C37" s="339"/>
      <x:c r="D37" s="339"/>
      <x:c r="E37" s="339"/>
      <x:c r="F37" s="339"/>
      <x:c r="G37" s="339"/>
      <x:c r="H37" s="339"/>
      <x:c r="I37" s="339"/>
      <x:c r="J37" s="339"/>
      <x:c r="K37" s="339"/>
      <x:c r="L37" s="339"/>
      <x:c r="M37" s="339"/>
      <x:c r="N37" s="339"/>
      <x:c r="O37" s="339"/>
      <x:c r="P37" s="339"/>
      <x:c r="Q37" s="339"/>
      <x:c r="R37" s="339"/>
      <x:c r="S37" s="339"/>
      <x:c r="T37" s="339"/>
      <x:c r="U37" s="1194"/>
      <x:c r="V37" s="1194"/>
      <x:c r="W37" s="1194"/>
      <x:c r="X37" s="1194"/>
      <x:c r="Y37" s="339"/>
      <x:c r="Z37" s="339"/>
    </x:row>
    <x:row r="38">
      <x:c r="A38" s="288" t="str">
        <x:v>Critical</x:v>
      </x:c>
      <x:c r="B38" s="28" t="str">
        <x:v>Whole-cohort causal earnings effect</x:v>
      </x:c>
      <x:c r="C38" s="28" t="str">
        <x:v>0%–5% sensitivity only</x:v>
      </x:c>
      <x:c r="D38" s="28" t="str">
        <x:v>Linked-data estimate of affected share, annual earnings, persistence and distribution</x:v>
      </x:c>
      <x:c r="E38" s="28" t="str">
        <x:v>Independent evaluator / Treasury</x:v>
      </x:c>
      <x:c r="F38" s="28" t="str">
        <x:v>Before any earnings benefit enters a funding case</x:v>
      </x:c>
      <x:c r="G38" s="994" t="str">
        <x:v>OPEN</x:v>
      </x:c>
      <x:c r="H38" s="339"/>
      <x:c r="I38" s="339"/>
      <x:c r="J38" s="339"/>
      <x:c r="K38" s="339"/>
      <x:c r="L38" s="339"/>
      <x:c r="M38" s="339"/>
      <x:c r="N38" s="339"/>
      <x:c r="O38" s="339"/>
      <x:c r="P38" s="339"/>
      <x:c r="Q38" s="339"/>
      <x:c r="R38" s="339"/>
      <x:c r="S38" s="339"/>
      <x:c r="T38" s="339"/>
      <x:c r="U38" s="1194"/>
      <x:c r="V38" s="1194"/>
      <x:c r="W38" s="1194"/>
      <x:c r="X38" s="1194"/>
      <x:c r="Y38" s="339"/>
      <x:c r="Z38" s="339"/>
    </x:row>
    <x:row r="39">
      <x:c r="A39" s="288" t="str">
        <x:v>Critical</x:v>
      </x:c>
      <x:c r="B39" s="28" t="str">
        <x:v>Attendance-to-earnings pathway</x:v>
      </x:c>
      <x:c r="C39" s="28" t="str">
        <x:v>Mechanism indicators are not separately monetised</x:v>
      </x:c>
      <x:c r="D39" s="28" t="str">
        <x:v>Pre-registered mediation and outcome model</x:v>
      </x:c>
      <x:c r="E39" s="28" t="str">
        <x:v>Independent evaluator</x:v>
      </x:c>
      <x:c r="F39" s="28" t="str">
        <x:v>Stage 0 evaluation design</x:v>
      </x:c>
      <x:c r="G39" s="994" t="str">
        <x:v>OPEN</x:v>
      </x:c>
      <x:c r="H39" s="339"/>
      <x:c r="I39" s="339"/>
      <x:c r="J39" s="339"/>
      <x:c r="K39" s="339"/>
      <x:c r="L39" s="339"/>
      <x:c r="M39" s="339"/>
      <x:c r="N39" s="339"/>
      <x:c r="O39" s="339"/>
      <x:c r="P39" s="339"/>
      <x:c r="Q39" s="339"/>
      <x:c r="R39" s="339"/>
      <x:c r="S39" s="339"/>
      <x:c r="T39" s="339"/>
      <x:c r="U39" s="1194"/>
      <x:c r="V39" s="1194"/>
      <x:c r="W39" s="1194"/>
      <x:c r="X39" s="1194"/>
      <x:c r="Y39" s="339"/>
      <x:c r="Z39" s="339"/>
    </x:row>
    <x:row r="40">
      <x:c r="A40" s="288" t="str">
        <x:v>Critical</x:v>
      </x:c>
      <x:c r="B40" s="28" t="str">
        <x:v>Qualification and completion effects</x:v>
      </x:c>
      <x:c r="C40" s="28" t="str">
        <x:v>Low / central / high programme-effect assumptions</x:v>
      </x:c>
      <x:c r="D40" s="28" t="str">
        <x:v>Causal Level 2, Level 3, vocational, tertiary and apprenticeship estimates</x:v>
      </x:c>
      <x:c r="E40" s="28" t="str">
        <x:v>Independent evaluator / Ministry</x:v>
      </x:c>
      <x:c r="F40" s="28" t="str">
        <x:v>Pilot evaluation</x:v>
      </x:c>
      <x:c r="G40" s="994" t="str">
        <x:v>OPEN</x:v>
      </x:c>
      <x:c r="H40" s="339"/>
      <x:c r="I40" s="339"/>
      <x:c r="J40" s="339"/>
      <x:c r="K40" s="339"/>
      <x:c r="L40" s="339"/>
      <x:c r="M40" s="339"/>
      <x:c r="N40" s="339"/>
      <x:c r="O40" s="339"/>
      <x:c r="P40" s="339"/>
      <x:c r="Q40" s="339"/>
      <x:c r="R40" s="339"/>
      <x:c r="S40" s="339"/>
      <x:c r="T40" s="339"/>
      <x:c r="U40" s="1194"/>
      <x:c r="V40" s="1194"/>
      <x:c r="W40" s="1194"/>
      <x:c r="X40" s="1194"/>
      <x:c r="Y40" s="339"/>
      <x:c r="Z40" s="339"/>
    </x:row>
    <x:row r="41">
      <x:c r="A41" s="288" t="str">
        <x:v>Critical</x:v>
      </x:c>
      <x:c r="B41" s="28" t="str">
        <x:v>Tax and ACC model</x:v>
      </x:c>
      <x:c r="C41" s="28" t="str">
        <x:v>Current statutory rates applied</x:v>
      </x:c>
      <x:c r="D41" s="28" t="str">
        <x:v>IRD / Treasury review of incremental tax method and timing</x:v>
      </x:c>
      <x:c r="E41" s="28" t="str">
        <x:v>IRD / Treasury</x:v>
      </x:c>
      <x:c r="F41" s="28" t="str">
        <x:v>Before Crown fiscal claim</x:v>
      </x:c>
      <x:c r="G41" s="994" t="str">
        <x:v>OPEN</x:v>
      </x:c>
      <x:c r="H41" s="339"/>
      <x:c r="I41" s="339"/>
      <x:c r="J41" s="339"/>
      <x:c r="K41" s="339"/>
      <x:c r="L41" s="339"/>
      <x:c r="M41" s="339"/>
      <x:c r="N41" s="339"/>
      <x:c r="O41" s="339"/>
      <x:c r="P41" s="339"/>
      <x:c r="Q41" s="339"/>
      <x:c r="R41" s="339"/>
      <x:c r="S41" s="339"/>
      <x:c r="T41" s="339"/>
      <x:c r="U41" s="1194"/>
      <x:c r="V41" s="1194"/>
      <x:c r="W41" s="1194"/>
      <x:c r="X41" s="1194"/>
      <x:c r="Y41" s="339"/>
      <x:c r="Z41" s="339"/>
    </x:row>
    <x:row r="42">
      <x:c r="A42" s="288" t="str">
        <x:v>Critical</x:v>
      </x:c>
      <x:c r="B42" s="28" t="str">
        <x:v>Benefit-receipt reduction</x:v>
      </x:c>
      <x:c r="C42" s="28" t="str">
        <x:v>Broad non-NEET sensitivity only</x:v>
      </x:c>
      <x:c r="D42" s="28" t="str">
        <x:v>Linked MSD counterfactual duration and receipt evidence</x:v>
      </x:c>
      <x:c r="E42" s="28" t="str">
        <x:v>MSD / evaluator</x:v>
      </x:c>
      <x:c r="F42" s="28" t="str">
        <x:v>Before Crown fiscal claim</x:v>
      </x:c>
      <x:c r="G42" s="994" t="str">
        <x:v>OPEN</x:v>
      </x:c>
      <x:c r="H42" s="339"/>
      <x:c r="I42" s="339"/>
      <x:c r="J42" s="339"/>
      <x:c r="K42" s="339"/>
      <x:c r="L42" s="339"/>
      <x:c r="M42" s="339"/>
      <x:c r="N42" s="339"/>
      <x:c r="O42" s="339"/>
      <x:c r="P42" s="339"/>
      <x:c r="Q42" s="339"/>
      <x:c r="R42" s="339"/>
      <x:c r="S42" s="339"/>
      <x:c r="T42" s="339"/>
      <x:c r="U42" s="1194"/>
      <x:c r="V42" s="1194"/>
      <x:c r="W42" s="1194"/>
      <x:c r="X42" s="1194"/>
      <x:c r="Y42" s="339"/>
      <x:c r="Z42" s="339"/>
    </x:row>
    <x:row r="43">
      <x:c r="A43" s="288" t="str">
        <x:v>Critical</x:v>
      </x:c>
      <x:c r="B43" s="28" t="str">
        <x:v>Universal core and targeted accelerator costs</x:v>
      </x:c>
      <x:c r="C43" s="28" t="str">
        <x:v>Scenario proportions and unit costs</x:v>
      </x:c>
      <x:c r="D43" s="28" t="str">
        <x:v>Service design, targeting rules, school workload and procurement evidence</x:v>
      </x:c>
      <x:c r="E43" s="28" t="str">
        <x:v>Programme / schools / Treasury</x:v>
      </x:c>
      <x:c r="F43" s="28" t="str">
        <x:v>Stage 0 business case</x:v>
      </x:c>
      <x:c r="G43" s="994" t="str">
        <x:v>OPEN</x:v>
      </x:c>
      <x:c r="H43" s="339"/>
      <x:c r="I43" s="339"/>
      <x:c r="J43" s="339"/>
      <x:c r="K43" s="339"/>
      <x:c r="L43" s="339"/>
      <x:c r="M43" s="339"/>
      <x:c r="N43" s="339"/>
      <x:c r="O43" s="339"/>
      <x:c r="P43" s="339"/>
      <x:c r="Q43" s="339"/>
      <x:c r="R43" s="339"/>
      <x:c r="S43" s="339"/>
      <x:c r="T43" s="339"/>
      <x:c r="U43" s="1194"/>
      <x:c r="V43" s="1194"/>
      <x:c r="W43" s="1194"/>
      <x:c r="X43" s="1194"/>
      <x:c r="Y43" s="339"/>
      <x:c r="Z43" s="339"/>
    </x:row>
    <x:row r="44">
      <x:c r="A44" s="288" t="str">
        <x:v>High</x:v>
      </x:c>
      <x:c r="B44" s="28" t="str">
        <x:v>Domestic retention and migration</x:v>
      </x:c>
      <x:c r="C44" s="28" t="str">
        <x:v>90% central scenario</x:v>
      </x:c>
      <x:c r="D44" s="28" t="str">
        <x:v>Longitudinal domestic employment and overseas migration evidence</x:v>
      </x:c>
      <x:c r="E44" s="28" t="str">
        <x:v>Stats NZ / Ministry</x:v>
      </x:c>
      <x:c r="F44" s="28" t="str">
        <x:v>Before long-run tax claim</x:v>
      </x:c>
      <x:c r="G44" s="994" t="str">
        <x:v>OPEN</x:v>
      </x:c>
      <x:c r="H44" s="339"/>
      <x:c r="I44" s="339"/>
      <x:c r="J44" s="339"/>
      <x:c r="K44" s="339"/>
      <x:c r="L44" s="339"/>
      <x:c r="M44" s="339"/>
      <x:c r="N44" s="339"/>
      <x:c r="O44" s="339"/>
      <x:c r="P44" s="339"/>
      <x:c r="Q44" s="339"/>
      <x:c r="R44" s="339"/>
      <x:c r="S44" s="339"/>
      <x:c r="T44" s="339"/>
      <x:c r="U44" s="1194"/>
      <x:c r="V44" s="1194"/>
      <x:c r="W44" s="1194"/>
      <x:c r="X44" s="1194"/>
      <x:c r="Y44" s="339"/>
      <x:c r="Z44" s="339"/>
    </x:row>
    <x:row r="45">
      <x:c r="A45" s="288" t="str">
        <x:v>High</x:v>
      </x:c>
      <x:c r="B45" s="28" t="str">
        <x:v>General-equilibrium and occupation oversupply</x:v>
      </x:c>
      <x:c r="C45" s="28" t="str">
        <x:v>5% central haircut</x:v>
      </x:c>
      <x:c r="D45" s="28" t="str">
        <x:v>Independent occupation-demand, wage, vacancy, automation and supply analysis</x:v>
      </x:c>
      <x:c r="E45" s="28" t="str">
        <x:v>MBIE / worker representatives</x:v>
      </x:c>
      <x:c r="F45" s="28" t="str">
        <x:v>Before pathway incentives are scaled</x:v>
      </x:c>
      <x:c r="G45" s="994" t="str">
        <x:v>OPEN</x:v>
      </x:c>
      <x:c r="H45" s="339"/>
      <x:c r="I45" s="339"/>
      <x:c r="J45" s="339"/>
      <x:c r="K45" s="339"/>
      <x:c r="L45" s="339"/>
      <x:c r="M45" s="339"/>
      <x:c r="N45" s="339"/>
      <x:c r="O45" s="339"/>
      <x:c r="P45" s="339"/>
      <x:c r="Q45" s="339"/>
      <x:c r="R45" s="339"/>
      <x:c r="S45" s="339"/>
      <x:c r="T45" s="339"/>
      <x:c r="U45" s="1194"/>
      <x:c r="V45" s="1194"/>
      <x:c r="W45" s="1194"/>
      <x:c r="X45" s="1194"/>
      <x:c r="Y45" s="339"/>
      <x:c r="Z45" s="339"/>
    </x:row>
    <x:row r="46">
      <x:c r="A46" s="288" t="str">
        <x:v>High</x:v>
      </x:c>
      <x:c r="B46" s="28" t="str">
        <x:v>Industry co-investment commitments</x:v>
      </x:c>
      <x:c r="C46" s="28" t="str">
        <x:v>Zero central</x:v>
      </x:c>
      <x:c r="D46" s="28" t="str">
        <x:v>Signed pooled funding agreements with independent governance</x:v>
      </x:c>
      <x:c r="E46" s="28" t="str">
        <x:v>Governance / commercial lead</x:v>
      </x:c>
      <x:c r="F46" s="28" t="str">
        <x:v>Before reducing Crown cost</x:v>
      </x:c>
      <x:c r="G46" s="994" t="str">
        <x:v>OPEN</x:v>
      </x:c>
      <x:c r="H46" s="339"/>
      <x:c r="I46" s="339"/>
      <x:c r="J46" s="339"/>
      <x:c r="K46" s="339"/>
      <x:c r="L46" s="339"/>
      <x:c r="M46" s="339"/>
      <x:c r="N46" s="339"/>
      <x:c r="O46" s="339"/>
      <x:c r="P46" s="339"/>
      <x:c r="Q46" s="339"/>
      <x:c r="R46" s="339"/>
      <x:c r="S46" s="339"/>
      <x:c r="T46" s="339"/>
      <x:c r="U46" s="1194"/>
      <x:c r="V46" s="1194"/>
      <x:c r="W46" s="1194"/>
      <x:c r="X46" s="1194"/>
      <x:c r="Y46" s="339"/>
      <x:c r="Z46" s="339"/>
    </x:row>
    <x:row r="47">
      <x:c r="A47" s="288" t="str">
        <x:v>High</x:v>
      </x:c>
      <x:c r="B47" s="28" t="str">
        <x:v>Industry capture safeguards</x:v>
      </x:c>
      <x:c r="C47" s="28" t="str">
        <x:v>Policy principles only</x:v>
      </x:c>
      <x:c r="D47" s="28" t="str">
        <x:v>Worker representation, student choice, transferable credentials, published wage and vacancy monitoring</x:v>
      </x:c>
      <x:c r="E47" s="28" t="str">
        <x:v>Governance / legal</x:v>
      </x:c>
      <x:c r="F47" s="28" t="str">
        <x:v>Before accepting industry funds</x:v>
      </x:c>
      <x:c r="G47" s="994" t="str">
        <x:v>OPEN</x:v>
      </x:c>
      <x:c r="H47" s="339"/>
      <x:c r="I47" s="339"/>
      <x:c r="J47" s="339"/>
      <x:c r="K47" s="339"/>
      <x:c r="L47" s="339"/>
      <x:c r="M47" s="339"/>
      <x:c r="N47" s="339"/>
      <x:c r="O47" s="339"/>
      <x:c r="P47" s="339"/>
      <x:c r="Q47" s="339"/>
      <x:c r="R47" s="339"/>
      <x:c r="S47" s="339"/>
      <x:c r="T47" s="339"/>
      <x:c r="U47" s="1194"/>
      <x:c r="V47" s="1194"/>
      <x:c r="W47" s="1194"/>
      <x:c r="X47" s="1194"/>
      <x:c r="Y47" s="339"/>
      <x:c r="Z47" s="339"/>
    </x:row>
    <x:row r="48">
      <x:c r="A48" s="288" t="str">
        <x:v>High</x:v>
      </x:c>
      <x:c r="B48" s="28" t="str">
        <x:v>Stage-gate thresholds</x:v>
      </x:c>
      <x:c r="C48" s="28" t="str">
        <x:v>Provisional cost, BCR, equity, workload and gaming thresholds</x:v>
      </x:c>
      <x:c r="D48" s="28" t="str">
        <x:v>Treasury, evaluator and school agreement before pilot data are observed</x:v>
      </x:c>
      <x:c r="E48" s="28" t="str">
        <x:v>Treasury / evaluator / schools</x:v>
      </x:c>
      <x:c r="F48" s="28" t="str">
        <x:v>Before pilot launch</x:v>
      </x:c>
      <x:c r="G48" s="994" t="str">
        <x:v>OPEN</x:v>
      </x:c>
      <x:c r="H48" s="339"/>
      <x:c r="I48" s="339"/>
      <x:c r="J48" s="339"/>
      <x:c r="K48" s="339"/>
      <x:c r="L48" s="339"/>
      <x:c r="M48" s="339"/>
      <x:c r="N48" s="339"/>
      <x:c r="O48" s="339"/>
      <x:c r="P48" s="339"/>
      <x:c r="Q48" s="339"/>
      <x:c r="R48" s="339"/>
      <x:c r="S48" s="339"/>
      <x:c r="T48" s="339"/>
      <x:c r="U48" s="1194"/>
      <x:c r="V48" s="1194"/>
      <x:c r="W48" s="1194"/>
      <x:c r="X48" s="1194"/>
      <x:c r="Y48" s="339"/>
      <x:c r="Z48" s="339"/>
    </x:row>
    <x:row r="49">
      <x:c r="A49" s="288" t="str">
        <x:v>High</x:v>
      </x:c>
      <x:c r="B49" s="28" t="str">
        <x:v>Double-counting review</x:v>
      </x:c>
      <x:c r="C49" s="28" t="str">
        <x:v>Averted NEET cases excluded from broad earnings stream</x:v>
      </x:c>
      <x:c r="D49" s="28" t="str">
        <x:v>Independent audit of earnings, tax, benefits, qualification premiums, loans and justice</x:v>
      </x:c>
      <x:c r="E49" s="28" t="str">
        <x:v>Independent economist / Treasury</x:v>
      </x:c>
      <x:c r="F49" s="28" t="str">
        <x:v>Before publication</x:v>
      </x:c>
      <x:c r="G49" s="994" t="str">
        <x:v>OPEN</x:v>
      </x:c>
      <x:c r="H49" s="339"/>
      <x:c r="I49" s="339"/>
      <x:c r="J49" s="339"/>
      <x:c r="K49" s="339"/>
      <x:c r="L49" s="339"/>
      <x:c r="M49" s="339"/>
      <x:c r="N49" s="339"/>
      <x:c r="O49" s="339"/>
      <x:c r="P49" s="339"/>
      <x:c r="Q49" s="339"/>
      <x:c r="R49" s="339"/>
      <x:c r="S49" s="339"/>
      <x:c r="T49" s="339"/>
      <x:c r="U49" s="1194"/>
      <x:c r="V49" s="1194"/>
      <x:c r="W49" s="1194"/>
      <x:c r="X49" s="1194"/>
      <x:c r="Y49" s="339"/>
      <x:c r="Z49" s="339"/>
    </x:row>
    <x:row r="50">
      <x:c r="A50" s="339"/>
      <x:c r="B50" s="339"/>
      <x:c r="C50" s="339"/>
      <x:c r="D50" s="339"/>
      <x:c r="E50" s="339"/>
      <x:c r="F50" s="339"/>
      <x:c r="G50" s="339"/>
      <x:c r="H50" s="339"/>
      <x:c r="I50" s="339"/>
      <x:c r="J50" s="339"/>
      <x:c r="K50" s="339"/>
      <x:c r="L50" s="339"/>
      <x:c r="M50" s="339"/>
      <x:c r="N50" s="339"/>
      <x:c r="O50" s="339"/>
      <x:c r="P50" s="339"/>
      <x:c r="Q50" s="339"/>
      <x:c r="R50" s="339"/>
      <x:c r="S50" s="339"/>
      <x:c r="T50" s="339"/>
      <x:c r="U50" s="1194"/>
      <x:c r="V50" s="1194"/>
      <x:c r="W50" s="1194"/>
      <x:c r="X50" s="1194"/>
      <x:c r="Y50" s="339"/>
      <x:c r="Z50" s="339"/>
    </x:row>
    <x:row r="51">
      <x:c r="A51" s="339"/>
      <x:c r="B51" s="339"/>
      <x:c r="C51" s="339"/>
      <x:c r="D51" s="339"/>
      <x:c r="E51" s="339"/>
      <x:c r="F51" s="339"/>
      <x:c r="G51" s="339"/>
      <x:c r="H51" s="339"/>
      <x:c r="I51" s="339"/>
      <x:c r="J51" s="339"/>
      <x:c r="K51" s="339"/>
      <x:c r="L51" s="339"/>
      <x:c r="M51" s="339"/>
      <x:c r="N51" s="339"/>
      <x:c r="O51" s="339"/>
      <x:c r="P51" s="339"/>
      <x:c r="Q51" s="339"/>
      <x:c r="R51" s="339"/>
      <x:c r="S51" s="339"/>
      <x:c r="T51" s="339"/>
      <x:c r="U51" s="1194"/>
      <x:c r="V51" s="1194"/>
      <x:c r="W51" s="1194"/>
      <x:c r="X51" s="1194"/>
      <x:c r="Y51" s="339"/>
      <x:c r="Z51" s="339"/>
    </x:row>
    <x:row r="52">
      <x:c r="A52" s="339"/>
      <x:c r="B52" s="339"/>
      <x:c r="C52" s="339"/>
      <x:c r="D52" s="339"/>
      <x:c r="E52" s="339"/>
      <x:c r="F52" s="339"/>
      <x:c r="G52" s="339"/>
      <x:c r="H52" s="339"/>
      <x:c r="I52" s="339"/>
      <x:c r="J52" s="339"/>
      <x:c r="K52" s="339"/>
      <x:c r="L52" s="339"/>
      <x:c r="M52" s="339"/>
      <x:c r="N52" s="339"/>
      <x:c r="O52" s="339"/>
      <x:c r="P52" s="339"/>
      <x:c r="Q52" s="339"/>
      <x:c r="R52" s="339"/>
      <x:c r="S52" s="339"/>
      <x:c r="T52" s="339"/>
      <x:c r="U52" s="1194"/>
      <x:c r="V52" s="1194"/>
      <x:c r="W52" s="1194"/>
      <x:c r="X52" s="1194"/>
      <x:c r="Y52" s="339"/>
      <x:c r="Z52" s="339"/>
    </x:row>
    <x:row r="53">
      <x:c r="A53" s="339"/>
      <x:c r="B53" s="339"/>
      <x:c r="C53" s="339"/>
      <x:c r="D53" s="339"/>
      <x:c r="E53" s="339"/>
      <x:c r="F53" s="339"/>
      <x:c r="G53" s="339"/>
      <x:c r="H53" s="339"/>
      <x:c r="I53" s="339"/>
      <x:c r="J53" s="339"/>
      <x:c r="K53" s="339"/>
      <x:c r="L53" s="339"/>
      <x:c r="M53" s="339"/>
      <x:c r="N53" s="339"/>
      <x:c r="O53" s="339"/>
      <x:c r="P53" s="339"/>
      <x:c r="Q53" s="339"/>
      <x:c r="R53" s="339"/>
      <x:c r="S53" s="339"/>
      <x:c r="T53" s="339"/>
      <x:c r="U53" s="1194"/>
      <x:c r="V53" s="1194"/>
      <x:c r="W53" s="1194"/>
      <x:c r="X53" s="1194"/>
      <x:c r="Y53" s="339"/>
      <x:c r="Z53" s="339"/>
    </x:row>
    <x:row r="54">
      <x:c r="A54" s="339"/>
      <x:c r="B54" s="339"/>
      <x:c r="C54" s="339"/>
      <x:c r="D54" s="339"/>
      <x:c r="E54" s="339"/>
      <x:c r="F54" s="339"/>
      <x:c r="G54" s="339"/>
      <x:c r="H54" s="339"/>
      <x:c r="I54" s="339"/>
      <x:c r="J54" s="339"/>
      <x:c r="K54" s="339"/>
      <x:c r="L54" s="339"/>
      <x:c r="M54" s="339"/>
      <x:c r="N54" s="339"/>
      <x:c r="O54" s="339"/>
      <x:c r="P54" s="339"/>
      <x:c r="Q54" s="339"/>
      <x:c r="R54" s="339"/>
      <x:c r="S54" s="339"/>
      <x:c r="T54" s="339"/>
      <x:c r="U54" s="1194"/>
      <x:c r="V54" s="1194"/>
      <x:c r="W54" s="1194"/>
      <x:c r="X54" s="1194"/>
      <x:c r="Y54" s="339"/>
      <x:c r="Z54" s="339"/>
    </x:row>
    <x:row r="55">
      <x:c r="A55" s="339"/>
      <x:c r="B55" s="339"/>
      <x:c r="C55" s="339"/>
      <x:c r="D55" s="339"/>
      <x:c r="E55" s="339"/>
      <x:c r="F55" s="339"/>
      <x:c r="G55" s="339"/>
      <x:c r="H55" s="339"/>
      <x:c r="I55" s="339"/>
      <x:c r="J55" s="339"/>
      <x:c r="K55" s="339"/>
      <x:c r="L55" s="339"/>
      <x:c r="M55" s="339"/>
      <x:c r="N55" s="339"/>
      <x:c r="O55" s="339"/>
      <x:c r="P55" s="339"/>
      <x:c r="Q55" s="339"/>
      <x:c r="R55" s="339"/>
      <x:c r="S55" s="339"/>
      <x:c r="T55" s="339"/>
      <x:c r="U55" s="1194"/>
      <x:c r="V55" s="1194"/>
      <x:c r="W55" s="1194"/>
      <x:c r="X55" s="1194"/>
      <x:c r="Y55" s="339"/>
      <x:c r="Z55" s="339"/>
    </x:row>
    <x:row r="56">
      <x:c r="A56" s="339"/>
      <x:c r="B56" s="339"/>
      <x:c r="C56" s="339"/>
      <x:c r="D56" s="339"/>
      <x:c r="E56" s="339"/>
      <x:c r="F56" s="339"/>
      <x:c r="G56" s="339"/>
      <x:c r="H56" s="339"/>
      <x:c r="I56" s="339"/>
      <x:c r="J56" s="339"/>
      <x:c r="K56" s="339"/>
      <x:c r="L56" s="339"/>
      <x:c r="M56" s="339"/>
      <x:c r="N56" s="339"/>
      <x:c r="O56" s="339"/>
      <x:c r="P56" s="339"/>
      <x:c r="Q56" s="339"/>
      <x:c r="R56" s="339"/>
      <x:c r="S56" s="339"/>
      <x:c r="T56" s="339"/>
      <x:c r="U56" s="1194"/>
      <x:c r="V56" s="1194"/>
      <x:c r="W56" s="1194"/>
      <x:c r="X56" s="1194"/>
      <x:c r="Y56" s="339"/>
      <x:c r="Z56" s="339"/>
    </x:row>
    <x:row r="57">
      <x:c r="A57" s="339"/>
      <x:c r="B57" s="339"/>
      <x:c r="C57" s="339"/>
      <x:c r="D57" s="339"/>
      <x:c r="E57" s="339"/>
      <x:c r="F57" s="339"/>
      <x:c r="G57" s="339"/>
      <x:c r="H57" s="339"/>
      <x:c r="I57" s="339"/>
      <x:c r="J57" s="339"/>
      <x:c r="K57" s="339"/>
      <x:c r="L57" s="339"/>
      <x:c r="M57" s="339"/>
      <x:c r="N57" s="339"/>
      <x:c r="O57" s="339"/>
      <x:c r="P57" s="339"/>
      <x:c r="Q57" s="339"/>
      <x:c r="R57" s="339"/>
      <x:c r="S57" s="339"/>
      <x:c r="T57" s="339"/>
      <x:c r="U57" s="1194"/>
      <x:c r="V57" s="1194"/>
      <x:c r="W57" s="1194"/>
      <x:c r="X57" s="1194"/>
      <x:c r="Y57" s="339"/>
      <x:c r="Z57" s="339"/>
    </x:row>
    <x:row r="58">
      <x:c r="A58" s="339"/>
      <x:c r="B58" s="339"/>
      <x:c r="C58" s="339"/>
      <x:c r="D58" s="339"/>
      <x:c r="E58" s="339"/>
      <x:c r="F58" s="339"/>
      <x:c r="G58" s="339"/>
      <x:c r="H58" s="339"/>
      <x:c r="I58" s="339"/>
      <x:c r="J58" s="339"/>
      <x:c r="K58" s="339"/>
      <x:c r="L58" s="339"/>
      <x:c r="M58" s="339"/>
      <x:c r="N58" s="339"/>
      <x:c r="O58" s="339"/>
      <x:c r="P58" s="339"/>
      <x:c r="Q58" s="339"/>
      <x:c r="R58" s="339"/>
      <x:c r="S58" s="339"/>
      <x:c r="T58" s="339"/>
      <x:c r="U58" s="1194"/>
      <x:c r="V58" s="1194"/>
      <x:c r="W58" s="1194"/>
      <x:c r="X58" s="1194"/>
      <x:c r="Y58" s="339"/>
      <x:c r="Z58" s="339"/>
    </x:row>
    <x:row r="59">
      <x:c r="A59" s="339"/>
      <x:c r="B59" s="339"/>
      <x:c r="C59" s="339"/>
      <x:c r="D59" s="339"/>
      <x:c r="E59" s="339"/>
      <x:c r="F59" s="339"/>
      <x:c r="G59" s="339"/>
      <x:c r="H59" s="339"/>
      <x:c r="I59" s="339"/>
      <x:c r="J59" s="339"/>
      <x:c r="K59" s="339"/>
      <x:c r="L59" s="339"/>
      <x:c r="M59" s="339"/>
      <x:c r="N59" s="339"/>
      <x:c r="O59" s="339"/>
      <x:c r="P59" s="339"/>
      <x:c r="Q59" s="339"/>
      <x:c r="R59" s="339"/>
      <x:c r="S59" s="339"/>
      <x:c r="T59" s="339"/>
      <x:c r="U59" s="1194"/>
      <x:c r="V59" s="1194"/>
      <x:c r="W59" s="1194"/>
      <x:c r="X59" s="1194"/>
      <x:c r="Y59" s="339"/>
      <x:c r="Z59" s="339"/>
    </x:row>
    <x:row r="60">
      <x:c r="A60" s="339"/>
      <x:c r="B60" s="339"/>
      <x:c r="C60" s="339"/>
      <x:c r="D60" s="339"/>
      <x:c r="E60" s="339"/>
      <x:c r="F60" s="339"/>
      <x:c r="G60" s="339"/>
      <x:c r="H60" s="339"/>
      <x:c r="I60" s="339"/>
      <x:c r="J60" s="339"/>
      <x:c r="K60" s="339"/>
      <x:c r="L60" s="339"/>
      <x:c r="M60" s="339"/>
      <x:c r="N60" s="339"/>
      <x:c r="O60" s="339"/>
      <x:c r="P60" s="339"/>
      <x:c r="Q60" s="339"/>
      <x:c r="R60" s="339"/>
      <x:c r="S60" s="339"/>
      <x:c r="T60" s="339"/>
      <x:c r="U60" s="1194"/>
      <x:c r="V60" s="1194"/>
      <x:c r="W60" s="1194"/>
      <x:c r="X60" s="1194"/>
      <x:c r="Y60" s="339"/>
      <x:c r="Z60" s="339"/>
    </x:row>
    <x:row r="61">
      <x:c r="A61" s="339"/>
      <x:c r="B61" s="339"/>
      <x:c r="C61" s="339"/>
      <x:c r="D61" s="339"/>
      <x:c r="E61" s="339"/>
      <x:c r="F61" s="339"/>
      <x:c r="G61" s="339"/>
      <x:c r="H61" s="339"/>
      <x:c r="I61" s="339"/>
      <x:c r="J61" s="339"/>
      <x:c r="K61" s="339"/>
      <x:c r="L61" s="339"/>
      <x:c r="M61" s="339"/>
      <x:c r="N61" s="339"/>
      <x:c r="O61" s="339"/>
      <x:c r="P61" s="339"/>
      <x:c r="Q61" s="339"/>
      <x:c r="R61" s="339"/>
      <x:c r="S61" s="339"/>
      <x:c r="T61" s="339"/>
      <x:c r="U61" s="1194"/>
      <x:c r="V61" s="1194"/>
      <x:c r="W61" s="1194"/>
      <x:c r="X61" s="1194"/>
      <x:c r="Y61" s="339"/>
      <x:c r="Z61" s="339"/>
    </x:row>
    <x:row r="62">
      <x:c r="A62" s="339"/>
      <x:c r="B62" s="339"/>
      <x:c r="C62" s="339"/>
      <x:c r="D62" s="339"/>
      <x:c r="E62" s="339"/>
      <x:c r="F62" s="339"/>
      <x:c r="G62" s="339"/>
      <x:c r="H62" s="339"/>
      <x:c r="I62" s="339"/>
      <x:c r="J62" s="339"/>
      <x:c r="K62" s="339"/>
      <x:c r="L62" s="339"/>
      <x:c r="M62" s="339"/>
      <x:c r="N62" s="339"/>
      <x:c r="O62" s="339"/>
      <x:c r="P62" s="339"/>
      <x:c r="Q62" s="339"/>
      <x:c r="R62" s="339"/>
      <x:c r="S62" s="339"/>
      <x:c r="T62" s="339"/>
      <x:c r="U62" s="1194"/>
      <x:c r="V62" s="1194"/>
      <x:c r="W62" s="1194"/>
      <x:c r="X62" s="1194"/>
      <x:c r="Y62" s="339"/>
      <x:c r="Z62" s="339"/>
    </x:row>
    <x:row r="63">
      <x:c r="A63" s="339"/>
      <x:c r="B63" s="339"/>
      <x:c r="C63" s="339"/>
      <x:c r="D63" s="339"/>
      <x:c r="E63" s="339"/>
      <x:c r="F63" s="339"/>
      <x:c r="G63" s="339"/>
      <x:c r="H63" s="339"/>
      <x:c r="I63" s="339"/>
      <x:c r="J63" s="339"/>
      <x:c r="K63" s="339"/>
      <x:c r="L63" s="339"/>
      <x:c r="M63" s="339"/>
      <x:c r="N63" s="339"/>
      <x:c r="O63" s="339"/>
      <x:c r="P63" s="339"/>
      <x:c r="Q63" s="339"/>
      <x:c r="R63" s="339"/>
      <x:c r="S63" s="339"/>
      <x:c r="T63" s="339"/>
      <x:c r="U63" s="1194"/>
      <x:c r="V63" s="1194"/>
      <x:c r="W63" s="1194"/>
      <x:c r="X63" s="1194"/>
      <x:c r="Y63" s="339"/>
      <x:c r="Z63" s="339"/>
    </x:row>
    <x:row r="64">
      <x:c r="A64" s="339"/>
      <x:c r="B64" s="339"/>
      <x:c r="C64" s="339"/>
      <x:c r="D64" s="339"/>
      <x:c r="E64" s="339"/>
      <x:c r="F64" s="339"/>
      <x:c r="G64" s="339"/>
      <x:c r="H64" s="339"/>
      <x:c r="I64" s="339"/>
      <x:c r="J64" s="339"/>
      <x:c r="K64" s="339"/>
      <x:c r="L64" s="339"/>
      <x:c r="M64" s="339"/>
      <x:c r="N64" s="339"/>
      <x:c r="O64" s="339"/>
      <x:c r="P64" s="339"/>
      <x:c r="Q64" s="339"/>
      <x:c r="R64" s="339"/>
      <x:c r="S64" s="339"/>
      <x:c r="T64" s="339"/>
      <x:c r="U64" s="1194"/>
      <x:c r="V64" s="1194"/>
      <x:c r="W64" s="1194"/>
      <x:c r="X64" s="1194"/>
      <x:c r="Y64" s="339"/>
      <x:c r="Z64" s="339"/>
    </x:row>
    <x:row r="65">
      <x:c r="A65" s="339"/>
      <x:c r="B65" s="339"/>
      <x:c r="C65" s="339"/>
      <x:c r="D65" s="339"/>
      <x:c r="E65" s="339"/>
      <x:c r="F65" s="339"/>
      <x:c r="G65" s="339"/>
      <x:c r="H65" s="339"/>
      <x:c r="I65" s="339"/>
      <x:c r="J65" s="339"/>
      <x:c r="K65" s="339"/>
      <x:c r="L65" s="339"/>
      <x:c r="M65" s="339"/>
      <x:c r="N65" s="339"/>
      <x:c r="O65" s="339"/>
      <x:c r="P65" s="339"/>
      <x:c r="Q65" s="339"/>
      <x:c r="R65" s="339"/>
      <x:c r="S65" s="339"/>
      <x:c r="T65" s="339"/>
      <x:c r="U65" s="1194"/>
      <x:c r="V65" s="1194"/>
      <x:c r="W65" s="1194"/>
      <x:c r="X65" s="1194"/>
      <x:c r="Y65" s="339"/>
      <x:c r="Z65" s="339"/>
    </x:row>
    <x:row r="66">
      <x:c r="A66" s="339"/>
      <x:c r="B66" s="339"/>
      <x:c r="C66" s="339"/>
      <x:c r="D66" s="339"/>
      <x:c r="E66" s="339"/>
      <x:c r="F66" s="339"/>
      <x:c r="G66" s="339"/>
      <x:c r="H66" s="339"/>
      <x:c r="I66" s="339"/>
      <x:c r="J66" s="339"/>
      <x:c r="K66" s="339"/>
      <x:c r="L66" s="339"/>
      <x:c r="M66" s="339"/>
      <x:c r="N66" s="339"/>
      <x:c r="O66" s="339"/>
      <x:c r="P66" s="339"/>
      <x:c r="Q66" s="339"/>
      <x:c r="R66" s="339"/>
      <x:c r="S66" s="339"/>
      <x:c r="T66" s="339"/>
      <x:c r="U66" s="1194"/>
      <x:c r="V66" s="1194"/>
      <x:c r="W66" s="1194"/>
      <x:c r="X66" s="1194"/>
      <x:c r="Y66" s="339"/>
      <x:c r="Z66" s="339"/>
    </x:row>
    <x:row r="67">
      <x:c r="A67" s="339"/>
      <x:c r="B67" s="339"/>
      <x:c r="C67" s="339"/>
      <x:c r="D67" s="339"/>
      <x:c r="E67" s="339"/>
      <x:c r="F67" s="339"/>
      <x:c r="G67" s="339"/>
      <x:c r="H67" s="339"/>
      <x:c r="I67" s="339"/>
      <x:c r="J67" s="339"/>
      <x:c r="K67" s="339"/>
      <x:c r="L67" s="339"/>
      <x:c r="M67" s="339"/>
      <x:c r="N67" s="339"/>
      <x:c r="O67" s="339"/>
      <x:c r="P67" s="339"/>
      <x:c r="Q67" s="339"/>
      <x:c r="R67" s="339"/>
      <x:c r="S67" s="339"/>
      <x:c r="T67" s="339"/>
      <x:c r="U67" s="1194"/>
      <x:c r="V67" s="1194"/>
      <x:c r="W67" s="1194"/>
      <x:c r="X67" s="1194"/>
      <x:c r="Y67" s="339"/>
      <x:c r="Z67" s="339"/>
    </x:row>
    <x:row r="68">
      <x:c r="A68" s="339"/>
      <x:c r="B68" s="339"/>
      <x:c r="C68" s="339"/>
      <x:c r="D68" s="339"/>
      <x:c r="E68" s="339"/>
      <x:c r="F68" s="339"/>
      <x:c r="G68" s="339"/>
      <x:c r="H68" s="339"/>
      <x:c r="I68" s="339"/>
      <x:c r="J68" s="339"/>
      <x:c r="K68" s="339"/>
      <x:c r="L68" s="339"/>
      <x:c r="M68" s="339"/>
      <x:c r="N68" s="339"/>
      <x:c r="O68" s="339"/>
      <x:c r="P68" s="339"/>
      <x:c r="Q68" s="339"/>
      <x:c r="R68" s="339"/>
      <x:c r="S68" s="339"/>
      <x:c r="T68" s="339"/>
      <x:c r="U68" s="1194"/>
      <x:c r="V68" s="1194"/>
      <x:c r="W68" s="1194"/>
      <x:c r="X68" s="1194"/>
      <x:c r="Y68" s="339"/>
      <x:c r="Z68" s="339"/>
    </x:row>
    <x:row r="69">
      <x:c r="A69" s="339"/>
      <x:c r="B69" s="339"/>
      <x:c r="C69" s="339"/>
      <x:c r="D69" s="339"/>
      <x:c r="E69" s="339"/>
      <x:c r="F69" s="339"/>
      <x:c r="G69" s="339"/>
      <x:c r="H69" s="339"/>
      <x:c r="I69" s="339"/>
      <x:c r="J69" s="339"/>
      <x:c r="K69" s="339"/>
      <x:c r="L69" s="339"/>
      <x:c r="M69" s="339"/>
      <x:c r="N69" s="339"/>
      <x:c r="O69" s="339"/>
      <x:c r="P69" s="339"/>
      <x:c r="Q69" s="339"/>
      <x:c r="R69" s="339"/>
      <x:c r="S69" s="339"/>
      <x:c r="T69" s="339"/>
      <x:c r="U69" s="1194"/>
      <x:c r="V69" s="1194"/>
      <x:c r="W69" s="1194"/>
      <x:c r="X69" s="1194"/>
      <x:c r="Y69" s="339"/>
      <x:c r="Z69" s="339"/>
    </x:row>
    <x:row r="70">
      <x:c r="A70" s="339"/>
      <x:c r="B70" s="339"/>
      <x:c r="C70" s="339"/>
      <x:c r="D70" s="339"/>
      <x:c r="E70" s="339"/>
      <x:c r="F70" s="339"/>
      <x:c r="G70" s="339"/>
      <x:c r="H70" s="339"/>
      <x:c r="I70" s="339"/>
      <x:c r="J70" s="339"/>
      <x:c r="K70" s="339"/>
      <x:c r="L70" s="339"/>
      <x:c r="M70" s="339"/>
      <x:c r="N70" s="339"/>
      <x:c r="O70" s="339"/>
      <x:c r="P70" s="339"/>
      <x:c r="Q70" s="339"/>
      <x:c r="R70" s="339"/>
      <x:c r="S70" s="339"/>
      <x:c r="T70" s="339"/>
      <x:c r="U70" s="1194"/>
      <x:c r="V70" s="1194"/>
      <x:c r="W70" s="1194"/>
      <x:c r="X70" s="1194"/>
      <x:c r="Y70" s="339"/>
      <x:c r="Z70" s="339"/>
    </x:row>
    <x:row r="71">
      <x:c r="A71" s="339"/>
      <x:c r="B71" s="339"/>
      <x:c r="C71" s="339"/>
      <x:c r="D71" s="339"/>
      <x:c r="E71" s="339"/>
      <x:c r="F71" s="339"/>
      <x:c r="G71" s="339"/>
      <x:c r="H71" s="339"/>
      <x:c r="I71" s="339"/>
      <x:c r="J71" s="339"/>
      <x:c r="K71" s="339"/>
      <x:c r="L71" s="339"/>
      <x:c r="M71" s="339"/>
      <x:c r="N71" s="339"/>
      <x:c r="O71" s="339"/>
      <x:c r="P71" s="339"/>
      <x:c r="Q71" s="339"/>
      <x:c r="R71" s="339"/>
      <x:c r="S71" s="339"/>
      <x:c r="T71" s="339"/>
      <x:c r="U71" s="1194"/>
      <x:c r="V71" s="1194"/>
      <x:c r="W71" s="1194"/>
      <x:c r="X71" s="1194"/>
      <x:c r="Y71" s="339"/>
      <x:c r="Z71" s="339"/>
    </x:row>
    <x:row r="72">
      <x:c r="A72" s="339"/>
      <x:c r="B72" s="339"/>
      <x:c r="C72" s="339"/>
      <x:c r="D72" s="339"/>
      <x:c r="E72" s="339"/>
      <x:c r="F72" s="339"/>
      <x:c r="G72" s="339"/>
      <x:c r="H72" s="339"/>
      <x:c r="I72" s="339"/>
      <x:c r="J72" s="339"/>
      <x:c r="K72" s="339"/>
      <x:c r="L72" s="339"/>
      <x:c r="M72" s="339"/>
      <x:c r="N72" s="339"/>
      <x:c r="O72" s="339"/>
      <x:c r="P72" s="339"/>
      <x:c r="Q72" s="339"/>
      <x:c r="R72" s="339"/>
      <x:c r="S72" s="339"/>
      <x:c r="T72" s="339"/>
      <x:c r="U72" s="1194"/>
      <x:c r="V72" s="1194"/>
      <x:c r="W72" s="1194"/>
      <x:c r="X72" s="1194"/>
      <x:c r="Y72" s="339"/>
      <x:c r="Z72" s="339"/>
    </x:row>
    <x:row r="73">
      <x:c r="A73" s="339"/>
      <x:c r="B73" s="339"/>
      <x:c r="C73" s="339"/>
      <x:c r="D73" s="339"/>
      <x:c r="E73" s="339"/>
      <x:c r="F73" s="339"/>
      <x:c r="G73" s="339"/>
      <x:c r="H73" s="339"/>
      <x:c r="I73" s="339"/>
      <x:c r="J73" s="339"/>
      <x:c r="K73" s="339"/>
      <x:c r="L73" s="339"/>
      <x:c r="M73" s="339"/>
      <x:c r="N73" s="339"/>
      <x:c r="O73" s="339"/>
      <x:c r="P73" s="339"/>
      <x:c r="Q73" s="339"/>
      <x:c r="R73" s="339"/>
      <x:c r="S73" s="339"/>
      <x:c r="T73" s="339"/>
      <x:c r="U73" s="1194"/>
      <x:c r="V73" s="1194"/>
      <x:c r="W73" s="1194"/>
      <x:c r="X73" s="1194"/>
      <x:c r="Y73" s="339"/>
      <x:c r="Z73" s="339"/>
    </x:row>
    <x:row r="74">
      <x:c r="A74" s="339"/>
      <x:c r="B74" s="339"/>
      <x:c r="C74" s="339"/>
      <x:c r="D74" s="339"/>
      <x:c r="E74" s="339"/>
      <x:c r="F74" s="339"/>
      <x:c r="G74" s="339"/>
      <x:c r="H74" s="339"/>
      <x:c r="I74" s="339"/>
      <x:c r="J74" s="339"/>
      <x:c r="K74" s="339"/>
      <x:c r="L74" s="339"/>
      <x:c r="M74" s="339"/>
      <x:c r="N74" s="339"/>
      <x:c r="O74" s="339"/>
      <x:c r="P74" s="339"/>
      <x:c r="Q74" s="339"/>
      <x:c r="R74" s="339"/>
      <x:c r="S74" s="339"/>
      <x:c r="T74" s="339"/>
      <x:c r="U74" s="1194"/>
      <x:c r="V74" s="1194"/>
      <x:c r="W74" s="1194"/>
      <x:c r="X74" s="1194"/>
      <x:c r="Y74" s="339"/>
      <x:c r="Z74" s="339"/>
    </x:row>
    <x:row r="75">
      <x:c r="A75" s="339"/>
      <x:c r="B75" s="339"/>
      <x:c r="C75" s="339"/>
      <x:c r="D75" s="339"/>
      <x:c r="E75" s="339"/>
      <x:c r="F75" s="339"/>
      <x:c r="G75" s="339"/>
      <x:c r="H75" s="339"/>
      <x:c r="I75" s="339"/>
      <x:c r="J75" s="339"/>
      <x:c r="K75" s="339"/>
      <x:c r="L75" s="339"/>
      <x:c r="M75" s="339"/>
      <x:c r="N75" s="339"/>
      <x:c r="O75" s="339"/>
      <x:c r="P75" s="339"/>
      <x:c r="Q75" s="339"/>
      <x:c r="R75" s="339"/>
      <x:c r="S75" s="339"/>
      <x:c r="T75" s="339"/>
      <x:c r="U75" s="1194"/>
      <x:c r="V75" s="1194"/>
      <x:c r="W75" s="1194"/>
      <x:c r="X75" s="1194"/>
      <x:c r="Y75" s="339"/>
      <x:c r="Z75" s="339"/>
    </x:row>
    <x:row r="76">
      <x:c r="A76" s="339"/>
      <x:c r="B76" s="339"/>
      <x:c r="C76" s="339"/>
      <x:c r="D76" s="339"/>
      <x:c r="E76" s="339"/>
      <x:c r="F76" s="339"/>
      <x:c r="G76" s="339"/>
      <x:c r="H76" s="339"/>
      <x:c r="I76" s="339"/>
      <x:c r="J76" s="339"/>
      <x:c r="K76" s="339"/>
      <x:c r="L76" s="339"/>
      <x:c r="M76" s="339"/>
      <x:c r="N76" s="339"/>
      <x:c r="O76" s="339"/>
      <x:c r="P76" s="339"/>
      <x:c r="Q76" s="339"/>
      <x:c r="R76" s="339"/>
      <x:c r="S76" s="339"/>
      <x:c r="T76" s="339"/>
      <x:c r="U76" s="1194"/>
      <x:c r="V76" s="1194"/>
      <x:c r="W76" s="1194"/>
      <x:c r="X76" s="1194"/>
      <x:c r="Y76" s="339"/>
      <x:c r="Z76" s="339"/>
    </x:row>
    <x:row r="77">
      <x:c r="A77" s="339"/>
      <x:c r="B77" s="339"/>
      <x:c r="C77" s="339"/>
      <x:c r="D77" s="339"/>
      <x:c r="E77" s="339"/>
      <x:c r="F77" s="339"/>
      <x:c r="G77" s="339"/>
      <x:c r="H77" s="339"/>
      <x:c r="I77" s="339"/>
      <x:c r="J77" s="339"/>
      <x:c r="K77" s="339"/>
      <x:c r="L77" s="339"/>
      <x:c r="M77" s="339"/>
      <x:c r="N77" s="339"/>
      <x:c r="O77" s="339"/>
      <x:c r="P77" s="339"/>
      <x:c r="Q77" s="339"/>
      <x:c r="R77" s="339"/>
      <x:c r="S77" s="339"/>
      <x:c r="T77" s="339"/>
      <x:c r="U77" s="1194"/>
      <x:c r="V77" s="1194"/>
      <x:c r="W77" s="1194"/>
      <x:c r="X77" s="1194"/>
      <x:c r="Y77" s="339"/>
      <x:c r="Z77" s="339"/>
    </x:row>
    <x:row r="78">
      <x:c r="A78" s="339"/>
      <x:c r="B78" s="339"/>
      <x:c r="C78" s="339"/>
      <x:c r="D78" s="339"/>
      <x:c r="E78" s="339"/>
      <x:c r="F78" s="339"/>
      <x:c r="G78" s="339"/>
      <x:c r="H78" s="339"/>
      <x:c r="I78" s="339"/>
      <x:c r="J78" s="339"/>
      <x:c r="K78" s="339"/>
      <x:c r="L78" s="339"/>
      <x:c r="M78" s="339"/>
      <x:c r="N78" s="339"/>
      <x:c r="O78" s="339"/>
      <x:c r="P78" s="339"/>
      <x:c r="Q78" s="339"/>
      <x:c r="R78" s="339"/>
      <x:c r="S78" s="339"/>
      <x:c r="T78" s="339"/>
      <x:c r="U78" s="1194"/>
      <x:c r="V78" s="1194"/>
      <x:c r="W78" s="1194"/>
      <x:c r="X78" s="1194"/>
      <x:c r="Y78" s="339"/>
      <x:c r="Z78" s="339"/>
    </x:row>
    <x:row r="79">
      <x:c r="A79" s="339"/>
      <x:c r="B79" s="339"/>
      <x:c r="C79" s="339"/>
      <x:c r="D79" s="339"/>
      <x:c r="E79" s="339"/>
      <x:c r="F79" s="339"/>
      <x:c r="G79" s="339"/>
      <x:c r="H79" s="339"/>
      <x:c r="I79" s="339"/>
      <x:c r="J79" s="339"/>
      <x:c r="K79" s="339"/>
      <x:c r="L79" s="339"/>
      <x:c r="M79" s="339"/>
      <x:c r="N79" s="339"/>
      <x:c r="O79" s="339"/>
      <x:c r="P79" s="339"/>
      <x:c r="Q79" s="339"/>
      <x:c r="R79" s="339"/>
      <x:c r="S79" s="339"/>
      <x:c r="T79" s="339"/>
      <x:c r="U79" s="1194"/>
      <x:c r="V79" s="1194"/>
      <x:c r="W79" s="1194"/>
      <x:c r="X79" s="1194"/>
      <x:c r="Y79" s="339"/>
      <x:c r="Z79" s="339"/>
    </x:row>
    <x:row r="80">
      <x:c r="A80" s="339"/>
      <x:c r="B80" s="339"/>
      <x:c r="C80" s="339"/>
      <x:c r="D80" s="339"/>
      <x:c r="E80" s="339"/>
      <x:c r="F80" s="339"/>
      <x:c r="G80" s="339"/>
      <x:c r="H80" s="339"/>
      <x:c r="I80" s="339"/>
      <x:c r="J80" s="339"/>
      <x:c r="K80" s="339"/>
      <x:c r="L80" s="339"/>
      <x:c r="M80" s="339"/>
      <x:c r="N80" s="339"/>
      <x:c r="O80" s="339"/>
      <x:c r="P80" s="339"/>
      <x:c r="Q80" s="339"/>
      <x:c r="R80" s="339"/>
      <x:c r="S80" s="339"/>
      <x:c r="T80" s="339"/>
      <x:c r="U80" s="1194"/>
      <x:c r="V80" s="1194"/>
      <x:c r="W80" s="1194"/>
      <x:c r="X80" s="1194"/>
      <x:c r="Y80" s="339"/>
      <x:c r="Z80" s="339"/>
    </x:row>
    <x:row r="81">
      <x:c r="A81" s="339"/>
      <x:c r="B81" s="339"/>
      <x:c r="C81" s="339"/>
      <x:c r="D81" s="339"/>
      <x:c r="E81" s="339"/>
      <x:c r="F81" s="339"/>
      <x:c r="G81" s="339"/>
      <x:c r="H81" s="339"/>
      <x:c r="I81" s="339"/>
      <x:c r="J81" s="339"/>
      <x:c r="K81" s="339"/>
      <x:c r="L81" s="339"/>
      <x:c r="M81" s="339"/>
      <x:c r="N81" s="339"/>
      <x:c r="O81" s="339"/>
      <x:c r="P81" s="339"/>
      <x:c r="Q81" s="339"/>
      <x:c r="R81" s="339"/>
      <x:c r="S81" s="339"/>
      <x:c r="T81" s="339"/>
      <x:c r="U81" s="1194"/>
      <x:c r="V81" s="1194"/>
      <x:c r="W81" s="1194"/>
      <x:c r="X81" s="1194"/>
      <x:c r="Y81" s="339"/>
      <x:c r="Z81" s="339"/>
    </x:row>
    <x:row r="82">
      <x:c r="A82" s="339"/>
      <x:c r="B82" s="339"/>
      <x:c r="C82" s="339"/>
      <x:c r="D82" s="339"/>
      <x:c r="E82" s="339"/>
      <x:c r="F82" s="339"/>
      <x:c r="G82" s="339"/>
      <x:c r="H82" s="339"/>
      <x:c r="I82" s="339"/>
      <x:c r="J82" s="339"/>
      <x:c r="K82" s="339"/>
      <x:c r="L82" s="339"/>
      <x:c r="M82" s="339"/>
      <x:c r="N82" s="339"/>
      <x:c r="O82" s="339"/>
      <x:c r="P82" s="339"/>
      <x:c r="Q82" s="339"/>
      <x:c r="R82" s="339"/>
      <x:c r="S82" s="339"/>
      <x:c r="T82" s="339"/>
      <x:c r="U82" s="1194"/>
      <x:c r="V82" s="1194"/>
      <x:c r="W82" s="1194"/>
      <x:c r="X82" s="1194"/>
      <x:c r="Y82" s="339"/>
      <x:c r="Z82" s="339"/>
    </x:row>
    <x:row r="83">
      <x:c r="A83" s="339"/>
      <x:c r="B83" s="339"/>
      <x:c r="C83" s="339"/>
      <x:c r="D83" s="339"/>
      <x:c r="E83" s="339"/>
      <x:c r="F83" s="339"/>
      <x:c r="G83" s="339"/>
      <x:c r="H83" s="339"/>
      <x:c r="I83" s="339"/>
      <x:c r="J83" s="339"/>
      <x:c r="K83" s="339"/>
      <x:c r="L83" s="339"/>
      <x:c r="M83" s="339"/>
      <x:c r="N83" s="339"/>
      <x:c r="O83" s="339"/>
      <x:c r="P83" s="339"/>
      <x:c r="Q83" s="339"/>
      <x:c r="R83" s="339"/>
      <x:c r="S83" s="339"/>
      <x:c r="T83" s="339"/>
      <x:c r="U83" s="1194"/>
      <x:c r="V83" s="1194"/>
      <x:c r="W83" s="1194"/>
      <x:c r="X83" s="1194"/>
      <x:c r="Y83" s="339"/>
      <x:c r="Z83" s="339"/>
    </x:row>
    <x:row r="84">
      <x:c r="A84" s="339"/>
      <x:c r="B84" s="339"/>
      <x:c r="C84" s="339"/>
      <x:c r="D84" s="339"/>
      <x:c r="E84" s="339"/>
      <x:c r="F84" s="339"/>
      <x:c r="G84" s="339"/>
      <x:c r="H84" s="339"/>
      <x:c r="I84" s="339"/>
      <x:c r="J84" s="339"/>
      <x:c r="K84" s="339"/>
      <x:c r="L84" s="339"/>
      <x:c r="M84" s="339"/>
      <x:c r="N84" s="339"/>
      <x:c r="O84" s="339"/>
      <x:c r="P84" s="339"/>
      <x:c r="Q84" s="339"/>
      <x:c r="R84" s="339"/>
      <x:c r="S84" s="339"/>
      <x:c r="T84" s="339"/>
      <x:c r="U84" s="1194"/>
      <x:c r="V84" s="1194"/>
      <x:c r="W84" s="1194"/>
      <x:c r="X84" s="1194"/>
      <x:c r="Y84" s="339"/>
      <x:c r="Z84" s="339"/>
    </x:row>
    <x:row r="85">
      <x:c r="A85" s="339"/>
      <x:c r="B85" s="339"/>
      <x:c r="C85" s="339"/>
      <x:c r="D85" s="339"/>
      <x:c r="E85" s="339"/>
      <x:c r="F85" s="339"/>
      <x:c r="G85" s="339"/>
      <x:c r="H85" s="339"/>
      <x:c r="I85" s="339"/>
      <x:c r="J85" s="339"/>
      <x:c r="K85" s="339"/>
      <x:c r="L85" s="339"/>
      <x:c r="M85" s="339"/>
      <x:c r="N85" s="339"/>
      <x:c r="O85" s="339"/>
      <x:c r="P85" s="339"/>
      <x:c r="Q85" s="339"/>
      <x:c r="R85" s="339"/>
      <x:c r="S85" s="339"/>
      <x:c r="T85" s="339"/>
      <x:c r="U85" s="1194"/>
      <x:c r="V85" s="1194"/>
      <x:c r="W85" s="1194"/>
      <x:c r="X85" s="1194"/>
      <x:c r="Y85" s="339"/>
      <x:c r="Z85" s="339"/>
    </x:row>
    <x:row r="86">
      <x:c r="A86" s="339"/>
      <x:c r="B86" s="339"/>
      <x:c r="C86" s="339"/>
      <x:c r="D86" s="339"/>
      <x:c r="E86" s="339"/>
      <x:c r="F86" s="339"/>
      <x:c r="G86" s="339"/>
      <x:c r="H86" s="339"/>
      <x:c r="I86" s="339"/>
      <x:c r="J86" s="339"/>
      <x:c r="K86" s="339"/>
      <x:c r="L86" s="339"/>
      <x:c r="M86" s="339"/>
      <x:c r="N86" s="339"/>
      <x:c r="O86" s="339"/>
      <x:c r="P86" s="339"/>
      <x:c r="Q86" s="339"/>
      <x:c r="R86" s="339"/>
      <x:c r="S86" s="339"/>
      <x:c r="T86" s="339"/>
      <x:c r="U86" s="1194"/>
      <x:c r="V86" s="1194"/>
      <x:c r="W86" s="1194"/>
      <x:c r="X86" s="1194"/>
      <x:c r="Y86" s="339"/>
      <x:c r="Z86" s="339"/>
    </x:row>
    <x:row r="87">
      <x:c r="A87" s="339"/>
      <x:c r="B87" s="339"/>
      <x:c r="C87" s="339"/>
      <x:c r="D87" s="339"/>
      <x:c r="E87" s="339"/>
      <x:c r="F87" s="339"/>
      <x:c r="G87" s="339"/>
      <x:c r="H87" s="339"/>
      <x:c r="I87" s="339"/>
      <x:c r="J87" s="339"/>
      <x:c r="K87" s="339"/>
      <x:c r="L87" s="339"/>
      <x:c r="M87" s="339"/>
      <x:c r="N87" s="339"/>
      <x:c r="O87" s="339"/>
      <x:c r="P87" s="339"/>
      <x:c r="Q87" s="339"/>
      <x:c r="R87" s="339"/>
      <x:c r="S87" s="339"/>
      <x:c r="T87" s="339"/>
      <x:c r="U87" s="1194"/>
      <x:c r="V87" s="1194"/>
      <x:c r="W87" s="1194"/>
      <x:c r="X87" s="1194"/>
      <x:c r="Y87" s="339"/>
      <x:c r="Z87" s="339"/>
    </x:row>
    <x:row r="88">
      <x:c r="A88" s="339"/>
      <x:c r="B88" s="339"/>
      <x:c r="C88" s="339"/>
      <x:c r="D88" s="339"/>
      <x:c r="E88" s="339"/>
      <x:c r="F88" s="339"/>
      <x:c r="G88" s="339"/>
      <x:c r="H88" s="339"/>
      <x:c r="I88" s="339"/>
      <x:c r="J88" s="339"/>
      <x:c r="K88" s="339"/>
      <x:c r="L88" s="339"/>
      <x:c r="M88" s="339"/>
      <x:c r="N88" s="339"/>
      <x:c r="O88" s="339"/>
      <x:c r="P88" s="339"/>
      <x:c r="Q88" s="339"/>
      <x:c r="R88" s="339"/>
      <x:c r="S88" s="339"/>
      <x:c r="T88" s="339"/>
      <x:c r="U88" s="1194"/>
      <x:c r="V88" s="1194"/>
      <x:c r="W88" s="1194"/>
      <x:c r="X88" s="1194"/>
      <x:c r="Y88" s="339"/>
      <x:c r="Z88" s="339"/>
    </x:row>
    <x:row r="89">
      <x:c r="A89" s="339"/>
      <x:c r="B89" s="339"/>
      <x:c r="C89" s="339"/>
      <x:c r="D89" s="339"/>
      <x:c r="E89" s="339"/>
      <x:c r="F89" s="339"/>
      <x:c r="G89" s="339"/>
      <x:c r="H89" s="339"/>
      <x:c r="I89" s="339"/>
      <x:c r="J89" s="339"/>
      <x:c r="K89" s="339"/>
      <x:c r="L89" s="339"/>
      <x:c r="M89" s="339"/>
      <x:c r="N89" s="339"/>
      <x:c r="O89" s="339"/>
      <x:c r="P89" s="339"/>
      <x:c r="Q89" s="339"/>
      <x:c r="R89" s="339"/>
      <x:c r="S89" s="339"/>
      <x:c r="T89" s="339"/>
      <x:c r="U89" s="1194"/>
      <x:c r="V89" s="1194"/>
      <x:c r="W89" s="1194"/>
      <x:c r="X89" s="1194"/>
      <x:c r="Y89" s="339"/>
      <x:c r="Z89" s="339"/>
    </x:row>
    <x:row r="90">
      <x:c r="A90" s="339"/>
      <x:c r="B90" s="339"/>
      <x:c r="C90" s="339"/>
      <x:c r="D90" s="339"/>
      <x:c r="E90" s="339"/>
      <x:c r="F90" s="339"/>
      <x:c r="G90" s="339"/>
      <x:c r="H90" s="339"/>
      <x:c r="I90" s="339"/>
      <x:c r="J90" s="339"/>
      <x:c r="K90" s="339"/>
      <x:c r="L90" s="339"/>
      <x:c r="M90" s="339"/>
      <x:c r="N90" s="339"/>
      <x:c r="O90" s="339"/>
      <x:c r="P90" s="339"/>
      <x:c r="Q90" s="339"/>
      <x:c r="R90" s="339"/>
      <x:c r="S90" s="339"/>
      <x:c r="T90" s="339"/>
      <x:c r="U90" s="1194"/>
      <x:c r="V90" s="1194"/>
      <x:c r="W90" s="1194"/>
      <x:c r="X90" s="1194"/>
      <x:c r="Y90" s="339"/>
      <x:c r="Z90" s="339"/>
    </x:row>
    <x:row r="91">
      <x:c r="A91" s="339"/>
      <x:c r="B91" s="339"/>
      <x:c r="C91" s="339"/>
      <x:c r="D91" s="339"/>
      <x:c r="E91" s="339"/>
      <x:c r="F91" s="339"/>
      <x:c r="G91" s="339"/>
      <x:c r="H91" s="339"/>
      <x:c r="I91" s="339"/>
      <x:c r="J91" s="339"/>
      <x:c r="K91" s="339"/>
      <x:c r="L91" s="339"/>
      <x:c r="M91" s="339"/>
      <x:c r="N91" s="339"/>
      <x:c r="O91" s="339"/>
      <x:c r="P91" s="339"/>
      <x:c r="Q91" s="339"/>
      <x:c r="R91" s="339"/>
      <x:c r="S91" s="339"/>
      <x:c r="T91" s="339"/>
      <x:c r="U91" s="1194"/>
      <x:c r="V91" s="1194"/>
      <x:c r="W91" s="1194"/>
      <x:c r="X91" s="1194"/>
      <x:c r="Y91" s="339"/>
      <x:c r="Z91" s="339"/>
    </x:row>
    <x:row r="92">
      <x:c r="A92" s="339"/>
      <x:c r="B92" s="339"/>
      <x:c r="C92" s="339"/>
      <x:c r="D92" s="339"/>
      <x:c r="E92" s="339"/>
      <x:c r="F92" s="339"/>
      <x:c r="G92" s="339"/>
      <x:c r="H92" s="339"/>
      <x:c r="I92" s="339"/>
      <x:c r="J92" s="339"/>
      <x:c r="K92" s="339"/>
      <x:c r="L92" s="339"/>
      <x:c r="M92" s="339"/>
      <x:c r="N92" s="339"/>
      <x:c r="O92" s="339"/>
      <x:c r="P92" s="339"/>
      <x:c r="Q92" s="339"/>
      <x:c r="R92" s="339"/>
      <x:c r="S92" s="339"/>
      <x:c r="T92" s="339"/>
      <x:c r="U92" s="1194"/>
      <x:c r="V92" s="1194"/>
      <x:c r="W92" s="1194"/>
      <x:c r="X92" s="1194"/>
      <x:c r="Y92" s="339"/>
      <x:c r="Z92" s="339"/>
    </x:row>
    <x:row r="93">
      <x:c r="A93" s="339"/>
      <x:c r="B93" s="339"/>
      <x:c r="C93" s="339"/>
      <x:c r="D93" s="339"/>
      <x:c r="E93" s="339"/>
      <x:c r="F93" s="339"/>
      <x:c r="G93" s="339"/>
      <x:c r="H93" s="339"/>
      <x:c r="I93" s="339"/>
      <x:c r="J93" s="339"/>
      <x:c r="K93" s="339"/>
      <x:c r="L93" s="339"/>
      <x:c r="M93" s="339"/>
      <x:c r="N93" s="339"/>
      <x:c r="O93" s="339"/>
      <x:c r="P93" s="339"/>
      <x:c r="Q93" s="339"/>
      <x:c r="R93" s="339"/>
      <x:c r="S93" s="339"/>
      <x:c r="T93" s="339"/>
      <x:c r="U93" s="1194"/>
      <x:c r="V93" s="1194"/>
      <x:c r="W93" s="1194"/>
      <x:c r="X93" s="1194"/>
      <x:c r="Y93" s="339"/>
      <x:c r="Z93" s="339"/>
    </x:row>
    <x:row r="94">
      <x:c r="A94" s="339"/>
      <x:c r="B94" s="339"/>
      <x:c r="C94" s="339"/>
      <x:c r="D94" s="339"/>
      <x:c r="E94" s="339"/>
      <x:c r="F94" s="339"/>
      <x:c r="G94" s="339"/>
      <x:c r="H94" s="339"/>
      <x:c r="I94" s="339"/>
      <x:c r="J94" s="339"/>
      <x:c r="K94" s="339"/>
      <x:c r="L94" s="339"/>
      <x:c r="M94" s="339"/>
      <x:c r="N94" s="339"/>
      <x:c r="O94" s="339"/>
      <x:c r="P94" s="339"/>
      <x:c r="Q94" s="339"/>
      <x:c r="R94" s="339"/>
      <x:c r="S94" s="339"/>
      <x:c r="T94" s="339"/>
      <x:c r="U94" s="1194"/>
      <x:c r="V94" s="1194"/>
      <x:c r="W94" s="1194"/>
      <x:c r="X94" s="1194"/>
      <x:c r="Y94" s="339"/>
      <x:c r="Z94" s="339"/>
    </x:row>
    <x:row r="95">
      <x:c r="A95" s="339"/>
      <x:c r="B95" s="339"/>
      <x:c r="C95" s="339"/>
      <x:c r="D95" s="339"/>
      <x:c r="E95" s="339"/>
      <x:c r="F95" s="339"/>
      <x:c r="G95" s="339"/>
      <x:c r="H95" s="339"/>
      <x:c r="I95" s="339"/>
      <x:c r="J95" s="339"/>
      <x:c r="K95" s="339"/>
      <x:c r="L95" s="339"/>
      <x:c r="M95" s="339"/>
      <x:c r="N95" s="339"/>
      <x:c r="O95" s="339"/>
      <x:c r="P95" s="339"/>
      <x:c r="Q95" s="339"/>
      <x:c r="R95" s="339"/>
      <x:c r="S95" s="339"/>
      <x:c r="T95" s="339"/>
      <x:c r="U95" s="1194"/>
      <x:c r="V95" s="1194"/>
      <x:c r="W95" s="1194"/>
      <x:c r="X95" s="1194"/>
      <x:c r="Y95" s="339"/>
      <x:c r="Z95" s="339"/>
    </x:row>
    <x:row r="96">
      <x:c r="A96" s="339"/>
      <x:c r="B96" s="339"/>
      <x:c r="C96" s="339"/>
      <x:c r="D96" s="339"/>
      <x:c r="E96" s="339"/>
      <x:c r="F96" s="339"/>
      <x:c r="G96" s="339"/>
      <x:c r="H96" s="339"/>
      <x:c r="I96" s="339"/>
      <x:c r="J96" s="339"/>
      <x:c r="K96" s="339"/>
      <x:c r="L96" s="339"/>
      <x:c r="M96" s="339"/>
      <x:c r="N96" s="339"/>
      <x:c r="O96" s="339"/>
      <x:c r="P96" s="339"/>
      <x:c r="Q96" s="339"/>
      <x:c r="R96" s="339"/>
      <x:c r="S96" s="339"/>
      <x:c r="T96" s="339"/>
      <x:c r="U96" s="1194"/>
      <x:c r="V96" s="1194"/>
      <x:c r="W96" s="1194"/>
      <x:c r="X96" s="1194"/>
      <x:c r="Y96" s="339"/>
      <x:c r="Z96" s="339"/>
    </x:row>
    <x:row r="97">
      <x:c r="A97" s="339"/>
      <x:c r="B97" s="339"/>
      <x:c r="C97" s="339"/>
      <x:c r="D97" s="339"/>
      <x:c r="E97" s="339"/>
      <x:c r="F97" s="339"/>
      <x:c r="G97" s="339"/>
      <x:c r="H97" s="339"/>
      <x:c r="I97" s="339"/>
      <x:c r="J97" s="339"/>
      <x:c r="K97" s="339"/>
      <x:c r="L97" s="339"/>
      <x:c r="M97" s="339"/>
      <x:c r="N97" s="339"/>
      <x:c r="O97" s="339"/>
      <x:c r="P97" s="339"/>
      <x:c r="Q97" s="339"/>
      <x:c r="R97" s="339"/>
      <x:c r="S97" s="339"/>
      <x:c r="T97" s="339"/>
      <x:c r="U97" s="1194"/>
      <x:c r="V97" s="1194"/>
      <x:c r="W97" s="1194"/>
      <x:c r="X97" s="1194"/>
      <x:c r="Y97" s="339"/>
      <x:c r="Z97" s="339"/>
    </x:row>
    <x:row r="98">
      <x:c r="A98" s="339"/>
      <x:c r="B98" s="339"/>
      <x:c r="C98" s="339"/>
      <x:c r="D98" s="339"/>
      <x:c r="E98" s="339"/>
      <x:c r="F98" s="339"/>
      <x:c r="G98" s="339"/>
      <x:c r="H98" s="339"/>
      <x:c r="I98" s="339"/>
      <x:c r="J98" s="339"/>
      <x:c r="K98" s="339"/>
      <x:c r="L98" s="339"/>
      <x:c r="M98" s="339"/>
      <x:c r="N98" s="339"/>
      <x:c r="O98" s="339"/>
      <x:c r="P98" s="339"/>
      <x:c r="Q98" s="339"/>
      <x:c r="R98" s="339"/>
      <x:c r="S98" s="339"/>
      <x:c r="T98" s="339"/>
      <x:c r="U98" s="1194"/>
      <x:c r="V98" s="1194"/>
      <x:c r="W98" s="1194"/>
      <x:c r="X98" s="1194"/>
      <x:c r="Y98" s="339"/>
      <x:c r="Z98" s="339"/>
    </x:row>
    <x:row r="99">
      <x:c r="A99" s="339"/>
      <x:c r="B99" s="339"/>
      <x:c r="C99" s="339"/>
      <x:c r="D99" s="339"/>
      <x:c r="E99" s="339"/>
      <x:c r="F99" s="339"/>
      <x:c r="G99" s="339"/>
      <x:c r="H99" s="339"/>
      <x:c r="I99" s="339"/>
      <x:c r="J99" s="339"/>
      <x:c r="K99" s="339"/>
      <x:c r="L99" s="339"/>
      <x:c r="M99" s="339"/>
      <x:c r="N99" s="339"/>
      <x:c r="O99" s="339"/>
      <x:c r="P99" s="339"/>
      <x:c r="Q99" s="339"/>
      <x:c r="R99" s="339"/>
      <x:c r="S99" s="339"/>
      <x:c r="T99" s="339"/>
      <x:c r="U99" s="1194"/>
      <x:c r="V99" s="1194"/>
      <x:c r="W99" s="1194"/>
      <x:c r="X99" s="1194"/>
      <x:c r="Y99" s="339"/>
      <x:c r="Z99" s="339"/>
    </x:row>
    <x:row r="100">
      <x:c r="A100" s="339"/>
      <x:c r="B100" s="339"/>
      <x:c r="C100" s="339"/>
      <x:c r="D100" s="339"/>
      <x:c r="E100" s="339"/>
      <x:c r="F100" s="339"/>
      <x:c r="G100" s="339"/>
      <x:c r="H100" s="339"/>
      <x:c r="I100" s="339"/>
      <x:c r="J100" s="339"/>
      <x:c r="K100" s="339"/>
      <x:c r="L100" s="339"/>
      <x:c r="M100" s="339"/>
      <x:c r="N100" s="339"/>
      <x:c r="O100" s="339"/>
      <x:c r="P100" s="339"/>
      <x:c r="Q100" s="339"/>
      <x:c r="R100" s="339"/>
      <x:c r="S100" s="339"/>
      <x:c r="T100" s="339"/>
      <x:c r="U100" s="1194"/>
      <x:c r="V100" s="1194"/>
      <x:c r="W100" s="1194"/>
      <x:c r="X100" s="1194"/>
      <x:c r="Y100" s="339"/>
      <x:c r="Z100" s="339"/>
    </x:row>
    <x:row r="101">
      <x:c r="A101" s="339"/>
      <x:c r="B101" s="339"/>
      <x:c r="C101" s="339"/>
      <x:c r="D101" s="339"/>
      <x:c r="E101" s="339"/>
      <x:c r="F101" s="339"/>
      <x:c r="G101" s="339"/>
      <x:c r="H101" s="339"/>
      <x:c r="I101" s="339"/>
      <x:c r="J101" s="339"/>
      <x:c r="K101" s="339"/>
      <x:c r="L101" s="339"/>
      <x:c r="M101" s="339"/>
      <x:c r="N101" s="339"/>
      <x:c r="O101" s="339"/>
      <x:c r="P101" s="339"/>
      <x:c r="Q101" s="339"/>
      <x:c r="R101" s="339"/>
      <x:c r="S101" s="339"/>
      <x:c r="T101" s="339"/>
      <x:c r="U101" s="1194"/>
      <x:c r="V101" s="1194"/>
      <x:c r="W101" s="1194"/>
      <x:c r="X101" s="1194"/>
      <x:c r="Y101" s="339"/>
      <x:c r="Z101" s="339"/>
    </x:row>
    <x:row r="102">
      <x:c r="A102" s="339"/>
      <x:c r="B102" s="339"/>
      <x:c r="C102" s="339"/>
      <x:c r="D102" s="339"/>
      <x:c r="E102" s="339"/>
      <x:c r="F102" s="339"/>
      <x:c r="G102" s="339"/>
      <x:c r="H102" s="339"/>
      <x:c r="I102" s="339"/>
      <x:c r="J102" s="339"/>
      <x:c r="K102" s="339"/>
      <x:c r="L102" s="339"/>
      <x:c r="M102" s="339"/>
      <x:c r="N102" s="339"/>
      <x:c r="O102" s="339"/>
      <x:c r="P102" s="339"/>
      <x:c r="Q102" s="339"/>
      <x:c r="R102" s="339"/>
      <x:c r="S102" s="339"/>
      <x:c r="T102" s="339"/>
      <x:c r="U102" s="1194"/>
      <x:c r="V102" s="1194"/>
      <x:c r="W102" s="1194"/>
      <x:c r="X102" s="1194"/>
      <x:c r="Y102" s="339"/>
      <x:c r="Z102" s="339"/>
    </x:row>
    <x:row r="103">
      <x:c r="A103" s="339"/>
      <x:c r="B103" s="339"/>
      <x:c r="C103" s="339"/>
      <x:c r="D103" s="339"/>
      <x:c r="E103" s="339"/>
      <x:c r="F103" s="339"/>
      <x:c r="G103" s="339"/>
      <x:c r="H103" s="339"/>
      <x:c r="I103" s="339"/>
      <x:c r="J103" s="339"/>
      <x:c r="K103" s="339"/>
      <x:c r="L103" s="339"/>
      <x:c r="M103" s="339"/>
      <x:c r="N103" s="339"/>
      <x:c r="O103" s="339"/>
      <x:c r="P103" s="339"/>
      <x:c r="Q103" s="339"/>
      <x:c r="R103" s="339"/>
      <x:c r="S103" s="339"/>
      <x:c r="T103" s="339"/>
      <x:c r="U103" s="1194"/>
      <x:c r="V103" s="1194"/>
      <x:c r="W103" s="1194"/>
      <x:c r="X103" s="1194"/>
      <x:c r="Y103" s="339"/>
      <x:c r="Z103" s="339"/>
    </x:row>
    <x:row r="104">
      <x:c r="A104" s="339"/>
      <x:c r="B104" s="339"/>
      <x:c r="C104" s="339"/>
      <x:c r="D104" s="339"/>
      <x:c r="E104" s="339"/>
      <x:c r="F104" s="339"/>
      <x:c r="G104" s="339"/>
      <x:c r="H104" s="339"/>
      <x:c r="I104" s="339"/>
      <x:c r="J104" s="339"/>
      <x:c r="K104" s="339"/>
      <x:c r="L104" s="339"/>
      <x:c r="M104" s="339"/>
      <x:c r="N104" s="339"/>
      <x:c r="O104" s="339"/>
      <x:c r="P104" s="339"/>
      <x:c r="Q104" s="339"/>
      <x:c r="R104" s="339"/>
      <x:c r="S104" s="339"/>
      <x:c r="T104" s="339"/>
      <x:c r="U104" s="1194"/>
      <x:c r="V104" s="1194"/>
      <x:c r="W104" s="1194"/>
      <x:c r="X104" s="1194"/>
      <x:c r="Y104" s="339"/>
      <x:c r="Z104" s="339"/>
    </x:row>
    <x:row r="105">
      <x:c r="A105" s="339"/>
      <x:c r="B105" s="339"/>
      <x:c r="C105" s="339"/>
      <x:c r="D105" s="339"/>
      <x:c r="E105" s="339"/>
      <x:c r="F105" s="339"/>
      <x:c r="G105" s="339"/>
      <x:c r="H105" s="339"/>
      <x:c r="I105" s="339"/>
      <x:c r="J105" s="339"/>
      <x:c r="K105" s="339"/>
      <x:c r="L105" s="339"/>
      <x:c r="M105" s="339"/>
      <x:c r="N105" s="339"/>
      <x:c r="O105" s="339"/>
      <x:c r="P105" s="339"/>
      <x:c r="Q105" s="339"/>
      <x:c r="R105" s="339"/>
      <x:c r="S105" s="339"/>
      <x:c r="T105" s="339"/>
      <x:c r="U105" s="1194"/>
      <x:c r="V105" s="1194"/>
      <x:c r="W105" s="1194"/>
      <x:c r="X105" s="1194"/>
      <x:c r="Y105" s="339"/>
      <x:c r="Z105" s="339"/>
    </x:row>
    <x:row r="106">
      <x:c r="A106" s="339"/>
      <x:c r="B106" s="339"/>
      <x:c r="C106" s="339"/>
      <x:c r="D106" s="339"/>
      <x:c r="E106" s="339"/>
      <x:c r="F106" s="339"/>
      <x:c r="G106" s="339"/>
      <x:c r="H106" s="339"/>
      <x:c r="I106" s="339"/>
      <x:c r="J106" s="339"/>
      <x:c r="K106" s="339"/>
      <x:c r="L106" s="339"/>
      <x:c r="M106" s="339"/>
      <x:c r="N106" s="339"/>
      <x:c r="O106" s="339"/>
      <x:c r="P106" s="339"/>
      <x:c r="Q106" s="339"/>
      <x:c r="R106" s="339"/>
      <x:c r="S106" s="339"/>
      <x:c r="T106" s="339"/>
      <x:c r="U106" s="1194"/>
      <x:c r="V106" s="1194"/>
      <x:c r="W106" s="1194"/>
      <x:c r="X106" s="1194"/>
      <x:c r="Y106" s="339"/>
      <x:c r="Z106" s="339"/>
    </x:row>
    <x:row r="107">
      <x:c r="A107" s="339"/>
      <x:c r="B107" s="339"/>
      <x:c r="C107" s="339"/>
      <x:c r="D107" s="339"/>
      <x:c r="E107" s="339"/>
      <x:c r="F107" s="339"/>
      <x:c r="G107" s="339"/>
      <x:c r="H107" s="339"/>
      <x:c r="I107" s="339"/>
      <x:c r="J107" s="339"/>
      <x:c r="K107" s="339"/>
      <x:c r="L107" s="339"/>
      <x:c r="M107" s="339"/>
      <x:c r="N107" s="339"/>
      <x:c r="O107" s="339"/>
      <x:c r="P107" s="339"/>
      <x:c r="Q107" s="339"/>
      <x:c r="R107" s="339"/>
      <x:c r="S107" s="339"/>
      <x:c r="T107" s="339"/>
      <x:c r="U107" s="1194"/>
      <x:c r="V107" s="1194"/>
      <x:c r="W107" s="1194"/>
      <x:c r="X107" s="1194"/>
      <x:c r="Y107" s="339"/>
      <x:c r="Z107" s="339"/>
    </x:row>
    <x:row r="108">
      <x:c r="A108" s="339"/>
      <x:c r="B108" s="339"/>
      <x:c r="C108" s="339"/>
      <x:c r="D108" s="339"/>
      <x:c r="E108" s="339"/>
      <x:c r="F108" s="339"/>
      <x:c r="G108" s="339"/>
      <x:c r="H108" s="339"/>
      <x:c r="I108" s="339"/>
      <x:c r="J108" s="339"/>
      <x:c r="K108" s="339"/>
      <x:c r="L108" s="339"/>
      <x:c r="M108" s="339"/>
      <x:c r="N108" s="339"/>
      <x:c r="O108" s="339"/>
      <x:c r="P108" s="339"/>
      <x:c r="Q108" s="339"/>
      <x:c r="R108" s="339"/>
      <x:c r="S108" s="339"/>
      <x:c r="T108" s="339"/>
      <x:c r="U108" s="1194"/>
      <x:c r="V108" s="1194"/>
      <x:c r="W108" s="1194"/>
      <x:c r="X108" s="1194"/>
      <x:c r="Y108" s="339"/>
      <x:c r="Z108" s="339"/>
    </x:row>
    <x:row r="109">
      <x:c r="A109" s="339"/>
      <x:c r="B109" s="339"/>
      <x:c r="C109" s="339"/>
      <x:c r="D109" s="339"/>
      <x:c r="E109" s="339"/>
      <x:c r="F109" s="339"/>
      <x:c r="G109" s="339"/>
      <x:c r="H109" s="339"/>
      <x:c r="I109" s="339"/>
      <x:c r="J109" s="339"/>
      <x:c r="K109" s="339"/>
      <x:c r="L109" s="339"/>
      <x:c r="M109" s="339"/>
      <x:c r="N109" s="339"/>
      <x:c r="O109" s="339"/>
      <x:c r="P109" s="339"/>
      <x:c r="Q109" s="339"/>
      <x:c r="R109" s="339"/>
      <x:c r="S109" s="339"/>
      <x:c r="T109" s="339"/>
      <x:c r="U109" s="1194"/>
      <x:c r="V109" s="1194"/>
      <x:c r="W109" s="1194"/>
      <x:c r="X109" s="1194"/>
      <x:c r="Y109" s="339"/>
      <x:c r="Z109" s="339"/>
    </x:row>
    <x:row r="110">
      <x:c r="A110" s="339"/>
      <x:c r="B110" s="339"/>
      <x:c r="C110" s="339"/>
      <x:c r="D110" s="339"/>
      <x:c r="E110" s="339"/>
      <x:c r="F110" s="339"/>
      <x:c r="G110" s="339"/>
      <x:c r="H110" s="339"/>
      <x:c r="I110" s="339"/>
      <x:c r="J110" s="339"/>
      <x:c r="K110" s="339"/>
      <x:c r="L110" s="339"/>
      <x:c r="M110" s="339"/>
      <x:c r="N110" s="339"/>
      <x:c r="O110" s="339"/>
      <x:c r="P110" s="339"/>
      <x:c r="Q110" s="339"/>
      <x:c r="R110" s="339"/>
      <x:c r="S110" s="339"/>
      <x:c r="T110" s="339"/>
      <x:c r="U110" s="1194"/>
      <x:c r="V110" s="1194"/>
      <x:c r="W110" s="1194"/>
      <x:c r="X110" s="1194"/>
      <x:c r="Y110" s="339"/>
      <x:c r="Z110" s="339"/>
    </x:row>
    <x:row r="111">
      <x:c r="A111" s="339"/>
      <x:c r="B111" s="339"/>
      <x:c r="C111" s="339"/>
      <x:c r="D111" s="339"/>
      <x:c r="E111" s="339"/>
      <x:c r="F111" s="339"/>
      <x:c r="G111" s="339"/>
      <x:c r="H111" s="339"/>
      <x:c r="I111" s="339"/>
      <x:c r="J111" s="339"/>
      <x:c r="K111" s="339"/>
      <x:c r="L111" s="339"/>
      <x:c r="M111" s="339"/>
      <x:c r="N111" s="339"/>
      <x:c r="O111" s="339"/>
      <x:c r="P111" s="339"/>
      <x:c r="Q111" s="339"/>
      <x:c r="R111" s="339"/>
      <x:c r="S111" s="339"/>
      <x:c r="T111" s="339"/>
      <x:c r="U111" s="1194"/>
      <x:c r="V111" s="1194"/>
      <x:c r="W111" s="1194"/>
      <x:c r="X111" s="1194"/>
      <x:c r="Y111" s="339"/>
      <x:c r="Z111" s="339"/>
    </x:row>
    <x:row r="112">
      <x:c r="A112" s="339"/>
      <x:c r="B112" s="339"/>
      <x:c r="C112" s="339"/>
      <x:c r="D112" s="339"/>
      <x:c r="E112" s="339"/>
      <x:c r="F112" s="339"/>
      <x:c r="G112" s="339"/>
      <x:c r="H112" s="339"/>
      <x:c r="I112" s="339"/>
      <x:c r="J112" s="339"/>
      <x:c r="K112" s="339"/>
      <x:c r="L112" s="339"/>
      <x:c r="M112" s="339"/>
      <x:c r="N112" s="339"/>
      <x:c r="O112" s="339"/>
      <x:c r="P112" s="339"/>
      <x:c r="Q112" s="339"/>
      <x:c r="R112" s="339"/>
      <x:c r="S112" s="339"/>
      <x:c r="T112" s="339"/>
      <x:c r="U112" s="1194"/>
      <x:c r="V112" s="1194"/>
      <x:c r="W112" s="1194"/>
      <x:c r="X112" s="1194"/>
      <x:c r="Y112" s="339"/>
      <x:c r="Z112" s="339"/>
    </x:row>
    <x:row r="113">
      <x:c r="A113" s="339"/>
      <x:c r="B113" s="339"/>
      <x:c r="C113" s="339"/>
      <x:c r="D113" s="339"/>
      <x:c r="E113" s="339"/>
      <x:c r="F113" s="339"/>
      <x:c r="G113" s="339"/>
      <x:c r="H113" s="339"/>
      <x:c r="I113" s="339"/>
      <x:c r="J113" s="339"/>
      <x:c r="K113" s="339"/>
      <x:c r="L113" s="339"/>
      <x:c r="M113" s="339"/>
      <x:c r="N113" s="339"/>
      <x:c r="O113" s="339"/>
      <x:c r="P113" s="339"/>
      <x:c r="Q113" s="339"/>
      <x:c r="R113" s="339"/>
      <x:c r="S113" s="339"/>
      <x:c r="T113" s="339"/>
      <x:c r="U113" s="1194"/>
      <x:c r="V113" s="1194"/>
      <x:c r="W113" s="1194"/>
      <x:c r="X113" s="1194"/>
      <x:c r="Y113" s="339"/>
      <x:c r="Z113" s="339"/>
    </x:row>
    <x:row r="114">
      <x:c r="A114" s="339"/>
      <x:c r="B114" s="339"/>
      <x:c r="C114" s="339"/>
      <x:c r="D114" s="339"/>
      <x:c r="E114" s="339"/>
      <x:c r="F114" s="339"/>
      <x:c r="G114" s="339"/>
      <x:c r="H114" s="339"/>
      <x:c r="I114" s="339"/>
      <x:c r="J114" s="339"/>
      <x:c r="K114" s="339"/>
      <x:c r="L114" s="339"/>
      <x:c r="M114" s="339"/>
      <x:c r="N114" s="339"/>
      <x:c r="O114" s="339"/>
      <x:c r="P114" s="339"/>
      <x:c r="Q114" s="339"/>
      <x:c r="R114" s="339"/>
      <x:c r="S114" s="339"/>
      <x:c r="T114" s="339"/>
      <x:c r="U114" s="1194"/>
      <x:c r="V114" s="1194"/>
      <x:c r="W114" s="1194"/>
      <x:c r="X114" s="1194"/>
      <x:c r="Y114" s="339"/>
      <x:c r="Z114" s="339"/>
    </x:row>
    <x:row r="115">
      <x:c r="A115" s="339"/>
      <x:c r="B115" s="339"/>
      <x:c r="C115" s="339"/>
      <x:c r="D115" s="339"/>
      <x:c r="E115" s="339"/>
      <x:c r="F115" s="339"/>
      <x:c r="G115" s="339"/>
      <x:c r="H115" s="339"/>
      <x:c r="I115" s="339"/>
      <x:c r="J115" s="339"/>
      <x:c r="K115" s="339"/>
      <x:c r="L115" s="339"/>
      <x:c r="M115" s="339"/>
      <x:c r="N115" s="339"/>
      <x:c r="O115" s="339"/>
      <x:c r="P115" s="339"/>
      <x:c r="Q115" s="339"/>
      <x:c r="R115" s="339"/>
      <x:c r="S115" s="339"/>
      <x:c r="T115" s="339"/>
      <x:c r="U115" s="1194"/>
      <x:c r="V115" s="1194"/>
      <x:c r="W115" s="1194"/>
      <x:c r="X115" s="1194"/>
      <x:c r="Y115" s="339"/>
      <x:c r="Z115" s="339"/>
    </x:row>
    <x:row r="116">
      <x:c r="A116" s="339"/>
      <x:c r="B116" s="339"/>
      <x:c r="C116" s="339"/>
      <x:c r="D116" s="339"/>
      <x:c r="E116" s="339"/>
      <x:c r="F116" s="339"/>
      <x:c r="G116" s="339"/>
      <x:c r="H116" s="339"/>
      <x:c r="I116" s="339"/>
      <x:c r="J116" s="339"/>
      <x:c r="K116" s="339"/>
      <x:c r="L116" s="339"/>
      <x:c r="M116" s="339"/>
      <x:c r="N116" s="339"/>
      <x:c r="O116" s="339"/>
      <x:c r="P116" s="339"/>
      <x:c r="Q116" s="339"/>
      <x:c r="R116" s="339"/>
      <x:c r="S116" s="339"/>
      <x:c r="T116" s="339"/>
      <x:c r="U116" s="1194"/>
      <x:c r="V116" s="1194"/>
      <x:c r="W116" s="1194"/>
      <x:c r="X116" s="1194"/>
      <x:c r="Y116" s="339"/>
      <x:c r="Z116" s="339"/>
    </x:row>
    <x:row r="117">
      <x:c r="A117" s="339"/>
      <x:c r="B117" s="339"/>
      <x:c r="C117" s="339"/>
      <x:c r="D117" s="339"/>
      <x:c r="E117" s="339"/>
      <x:c r="F117" s="339"/>
      <x:c r="G117" s="339"/>
      <x:c r="H117" s="339"/>
      <x:c r="I117" s="339"/>
      <x:c r="J117" s="339"/>
      <x:c r="K117" s="339"/>
      <x:c r="L117" s="339"/>
      <x:c r="M117" s="339"/>
      <x:c r="N117" s="339"/>
      <x:c r="O117" s="339"/>
      <x:c r="P117" s="339"/>
      <x:c r="Q117" s="339"/>
      <x:c r="R117" s="339"/>
      <x:c r="S117" s="339"/>
      <x:c r="T117" s="339"/>
      <x:c r="U117" s="1194"/>
      <x:c r="V117" s="1194"/>
      <x:c r="W117" s="1194"/>
      <x:c r="X117" s="1194"/>
      <x:c r="Y117" s="339"/>
      <x:c r="Z117" s="339"/>
    </x:row>
    <x:row r="118">
      <x:c r="A118" s="339"/>
      <x:c r="B118" s="339"/>
      <x:c r="C118" s="339"/>
      <x:c r="D118" s="339"/>
      <x:c r="E118" s="339"/>
      <x:c r="F118" s="339"/>
      <x:c r="G118" s="339"/>
      <x:c r="H118" s="339"/>
      <x:c r="I118" s="339"/>
      <x:c r="J118" s="339"/>
      <x:c r="K118" s="339"/>
      <x:c r="L118" s="339"/>
      <x:c r="M118" s="339"/>
      <x:c r="N118" s="339"/>
      <x:c r="O118" s="339"/>
      <x:c r="P118" s="339"/>
      <x:c r="Q118" s="339"/>
      <x:c r="R118" s="339"/>
      <x:c r="S118" s="339"/>
      <x:c r="T118" s="339"/>
      <x:c r="U118" s="1194"/>
      <x:c r="V118" s="1194"/>
      <x:c r="W118" s="1194"/>
      <x:c r="X118" s="1194"/>
      <x:c r="Y118" s="339"/>
      <x:c r="Z118" s="339"/>
    </x:row>
    <x:row r="119">
      <x:c r="A119" s="339"/>
      <x:c r="B119" s="339"/>
      <x:c r="C119" s="339"/>
      <x:c r="D119" s="339"/>
      <x:c r="E119" s="339"/>
      <x:c r="F119" s="339"/>
      <x:c r="G119" s="339"/>
      <x:c r="H119" s="339"/>
      <x:c r="I119" s="339"/>
      <x:c r="J119" s="339"/>
      <x:c r="K119" s="339"/>
      <x:c r="L119" s="339"/>
      <x:c r="M119" s="339"/>
      <x:c r="N119" s="339"/>
      <x:c r="O119" s="339"/>
      <x:c r="P119" s="339"/>
      <x:c r="Q119" s="339"/>
      <x:c r="R119" s="339"/>
      <x:c r="S119" s="339"/>
      <x:c r="T119" s="339"/>
      <x:c r="U119" s="1194"/>
      <x:c r="V119" s="1194"/>
      <x:c r="W119" s="1194"/>
      <x:c r="X119" s="1194"/>
      <x:c r="Y119" s="339"/>
      <x:c r="Z119" s="339"/>
    </x:row>
    <x:row r="120">
      <x:c r="A120" s="339"/>
      <x:c r="B120" s="339"/>
      <x:c r="C120" s="339"/>
      <x:c r="D120" s="339"/>
      <x:c r="E120" s="339"/>
      <x:c r="F120" s="339"/>
      <x:c r="G120" s="339"/>
      <x:c r="H120" s="339"/>
      <x:c r="I120" s="339"/>
      <x:c r="J120" s="339"/>
      <x:c r="K120" s="339"/>
      <x:c r="L120" s="339"/>
      <x:c r="M120" s="339"/>
      <x:c r="N120" s="339"/>
      <x:c r="O120" s="339"/>
      <x:c r="P120" s="339"/>
      <x:c r="Q120" s="339"/>
      <x:c r="R120" s="339"/>
      <x:c r="S120" s="339"/>
      <x:c r="T120" s="339"/>
      <x:c r="U120" s="1194"/>
      <x:c r="V120" s="1194"/>
      <x:c r="W120" s="1194"/>
      <x:c r="X120" s="1194"/>
      <x:c r="Y120" s="339"/>
      <x:c r="Z120" s="339"/>
    </x:row>
    <x:row r="121">
      <x:c r="A121" s="339"/>
      <x:c r="B121" s="339"/>
      <x:c r="C121" s="339"/>
      <x:c r="D121" s="339"/>
      <x:c r="E121" s="339"/>
      <x:c r="F121" s="339"/>
      <x:c r="G121" s="339"/>
      <x:c r="H121" s="339"/>
      <x:c r="I121" s="339"/>
      <x:c r="J121" s="339"/>
      <x:c r="K121" s="339"/>
      <x:c r="L121" s="339"/>
      <x:c r="M121" s="339"/>
      <x:c r="N121" s="339"/>
      <x:c r="O121" s="339"/>
      <x:c r="P121" s="339"/>
      <x:c r="Q121" s="339"/>
      <x:c r="R121" s="339"/>
      <x:c r="S121" s="339"/>
      <x:c r="T121" s="339"/>
      <x:c r="U121" s="1194"/>
      <x:c r="V121" s="1194"/>
      <x:c r="W121" s="1194"/>
      <x:c r="X121" s="1194"/>
      <x:c r="Y121" s="339"/>
      <x:c r="Z121" s="339"/>
    </x:row>
    <x:row r="122">
      <x:c r="A122" s="339"/>
      <x:c r="B122" s="339"/>
      <x:c r="C122" s="339"/>
      <x:c r="D122" s="339"/>
      <x:c r="E122" s="339"/>
      <x:c r="F122" s="339"/>
      <x:c r="G122" s="339"/>
      <x:c r="H122" s="339"/>
      <x:c r="I122" s="339"/>
      <x:c r="J122" s="339"/>
      <x:c r="K122" s="339"/>
      <x:c r="L122" s="339"/>
      <x:c r="M122" s="339"/>
      <x:c r="N122" s="339"/>
      <x:c r="O122" s="339"/>
      <x:c r="P122" s="339"/>
      <x:c r="Q122" s="339"/>
      <x:c r="R122" s="339"/>
      <x:c r="S122" s="339"/>
      <x:c r="T122" s="339"/>
      <x:c r="U122" s="1194"/>
      <x:c r="V122" s="1194"/>
      <x:c r="W122" s="1194"/>
      <x:c r="X122" s="1194"/>
      <x:c r="Y122" s="339"/>
      <x:c r="Z122" s="339"/>
    </x:row>
    <x:row r="123">
      <x:c r="A123" s="339"/>
      <x:c r="B123" s="339"/>
      <x:c r="C123" s="339"/>
      <x:c r="D123" s="339"/>
      <x:c r="E123" s="339"/>
      <x:c r="F123" s="339"/>
      <x:c r="G123" s="339"/>
      <x:c r="H123" s="339"/>
      <x:c r="I123" s="339"/>
      <x:c r="J123" s="339"/>
      <x:c r="K123" s="339"/>
      <x:c r="L123" s="339"/>
      <x:c r="M123" s="339"/>
      <x:c r="N123" s="339"/>
      <x:c r="O123" s="339"/>
      <x:c r="P123" s="339"/>
      <x:c r="Q123" s="339"/>
      <x:c r="R123" s="339"/>
      <x:c r="S123" s="339"/>
      <x:c r="T123" s="339"/>
      <x:c r="U123" s="1194"/>
      <x:c r="V123" s="1194"/>
      <x:c r="W123" s="1194"/>
      <x:c r="X123" s="1194"/>
      <x:c r="Y123" s="339"/>
      <x:c r="Z123" s="339"/>
    </x:row>
    <x:row r="124">
      <x:c r="A124" s="339"/>
      <x:c r="B124" s="339"/>
      <x:c r="C124" s="339"/>
      <x:c r="D124" s="339"/>
      <x:c r="E124" s="339"/>
      <x:c r="F124" s="339"/>
      <x:c r="G124" s="339"/>
      <x:c r="H124" s="339"/>
      <x:c r="I124" s="339"/>
      <x:c r="J124" s="339"/>
      <x:c r="K124" s="339"/>
      <x:c r="L124" s="339"/>
      <x:c r="M124" s="339"/>
      <x:c r="N124" s="339"/>
      <x:c r="O124" s="339"/>
      <x:c r="P124" s="339"/>
      <x:c r="Q124" s="339"/>
      <x:c r="R124" s="339"/>
      <x:c r="S124" s="339"/>
      <x:c r="T124" s="339"/>
      <x:c r="U124" s="1194"/>
      <x:c r="V124" s="1194"/>
      <x:c r="W124" s="1194"/>
      <x:c r="X124" s="1194"/>
      <x:c r="Y124" s="339"/>
      <x:c r="Z124" s="339"/>
    </x:row>
    <x:row r="125">
      <x:c r="A125" s="339"/>
      <x:c r="B125" s="339"/>
      <x:c r="C125" s="339"/>
      <x:c r="D125" s="339"/>
      <x:c r="E125" s="339"/>
      <x:c r="F125" s="339"/>
      <x:c r="G125" s="339"/>
      <x:c r="H125" s="339"/>
      <x:c r="I125" s="339"/>
      <x:c r="J125" s="339"/>
      <x:c r="K125" s="339"/>
      <x:c r="L125" s="339"/>
      <x:c r="M125" s="339"/>
      <x:c r="N125" s="339"/>
      <x:c r="O125" s="339"/>
      <x:c r="P125" s="339"/>
      <x:c r="Q125" s="339"/>
      <x:c r="R125" s="339"/>
      <x:c r="S125" s="339"/>
      <x:c r="T125" s="339"/>
      <x:c r="U125" s="1194"/>
      <x:c r="V125" s="1194"/>
      <x:c r="W125" s="1194"/>
      <x:c r="X125" s="1194"/>
      <x:c r="Y125" s="339"/>
      <x:c r="Z125" s="339"/>
    </x:row>
    <x:row r="126">
      <x:c r="A126" s="339"/>
      <x:c r="B126" s="339"/>
      <x:c r="C126" s="339"/>
      <x:c r="D126" s="339"/>
      <x:c r="E126" s="339"/>
      <x:c r="F126" s="339"/>
      <x:c r="G126" s="339"/>
      <x:c r="H126" s="339"/>
      <x:c r="I126" s="339"/>
      <x:c r="J126" s="339"/>
      <x:c r="K126" s="339"/>
      <x:c r="L126" s="339"/>
      <x:c r="M126" s="339"/>
      <x:c r="N126" s="339"/>
      <x:c r="O126" s="339"/>
      <x:c r="P126" s="339"/>
      <x:c r="Q126" s="339"/>
      <x:c r="R126" s="339"/>
      <x:c r="S126" s="339"/>
      <x:c r="T126" s="339"/>
      <x:c r="U126" s="1194"/>
      <x:c r="V126" s="1194"/>
      <x:c r="W126" s="1194"/>
      <x:c r="X126" s="1194"/>
      <x:c r="Y126" s="339"/>
      <x:c r="Z126" s="339"/>
    </x:row>
    <x:row r="127">
      <x:c r="A127" s="339"/>
      <x:c r="B127" s="339"/>
      <x:c r="C127" s="339"/>
      <x:c r="D127" s="339"/>
      <x:c r="E127" s="339"/>
      <x:c r="F127" s="339"/>
      <x:c r="G127" s="339"/>
      <x:c r="H127" s="339"/>
      <x:c r="I127" s="339"/>
      <x:c r="J127" s="339"/>
      <x:c r="K127" s="339"/>
      <x:c r="L127" s="339"/>
      <x:c r="M127" s="339"/>
      <x:c r="N127" s="339"/>
      <x:c r="O127" s="339"/>
      <x:c r="P127" s="339"/>
      <x:c r="Q127" s="339"/>
      <x:c r="R127" s="339"/>
      <x:c r="S127" s="339"/>
      <x:c r="T127" s="339"/>
      <x:c r="U127" s="1194"/>
      <x:c r="V127" s="1194"/>
      <x:c r="W127" s="1194"/>
      <x:c r="X127" s="1194"/>
      <x:c r="Y127" s="339"/>
      <x:c r="Z127" s="339"/>
    </x:row>
    <x:row r="128">
      <x:c r="A128" s="339"/>
      <x:c r="B128" s="339"/>
      <x:c r="C128" s="339"/>
      <x:c r="D128" s="339"/>
      <x:c r="E128" s="339"/>
      <x:c r="F128" s="339"/>
      <x:c r="G128" s="339"/>
      <x:c r="H128" s="339"/>
      <x:c r="I128" s="339"/>
      <x:c r="J128" s="339"/>
      <x:c r="K128" s="339"/>
      <x:c r="L128" s="339"/>
      <x:c r="M128" s="339"/>
      <x:c r="N128" s="339"/>
      <x:c r="O128" s="339"/>
      <x:c r="P128" s="339"/>
      <x:c r="Q128" s="339"/>
      <x:c r="R128" s="339"/>
      <x:c r="S128" s="339"/>
      <x:c r="T128" s="339"/>
      <x:c r="U128" s="1194"/>
      <x:c r="V128" s="1194"/>
      <x:c r="W128" s="1194"/>
      <x:c r="X128" s="1194"/>
      <x:c r="Y128" s="339"/>
      <x:c r="Z128" s="339"/>
    </x:row>
    <x:row r="129">
      <x:c r="A129" s="339"/>
      <x:c r="B129" s="339"/>
      <x:c r="C129" s="339"/>
      <x:c r="D129" s="339"/>
      <x:c r="E129" s="339"/>
      <x:c r="F129" s="339"/>
      <x:c r="G129" s="339"/>
      <x:c r="H129" s="339"/>
      <x:c r="I129" s="339"/>
      <x:c r="J129" s="339"/>
      <x:c r="K129" s="339"/>
      <x:c r="L129" s="339"/>
      <x:c r="M129" s="339"/>
      <x:c r="N129" s="339"/>
      <x:c r="O129" s="339"/>
      <x:c r="P129" s="339"/>
      <x:c r="Q129" s="339"/>
      <x:c r="R129" s="339"/>
      <x:c r="S129" s="339"/>
      <x:c r="T129" s="339"/>
      <x:c r="U129" s="1194"/>
      <x:c r="V129" s="1194"/>
      <x:c r="W129" s="1194"/>
      <x:c r="X129" s="1194"/>
      <x:c r="Y129" s="339"/>
      <x:c r="Z129" s="339"/>
    </x:row>
    <x:row r="130">
      <x:c r="A130" s="339"/>
      <x:c r="B130" s="339"/>
      <x:c r="C130" s="339"/>
      <x:c r="D130" s="339"/>
      <x:c r="E130" s="339"/>
      <x:c r="F130" s="339"/>
      <x:c r="G130" s="339"/>
      <x:c r="H130" s="339"/>
      <x:c r="I130" s="339"/>
      <x:c r="J130" s="339"/>
      <x:c r="K130" s="339"/>
      <x:c r="L130" s="339"/>
      <x:c r="M130" s="339"/>
      <x:c r="N130" s="339"/>
      <x:c r="O130" s="339"/>
      <x:c r="P130" s="339"/>
      <x:c r="Q130" s="339"/>
      <x:c r="R130" s="339"/>
      <x:c r="S130" s="339"/>
      <x:c r="T130" s="339"/>
      <x:c r="U130" s="1194"/>
      <x:c r="V130" s="1194"/>
      <x:c r="W130" s="1194"/>
      <x:c r="X130" s="1194"/>
      <x:c r="Y130" s="339"/>
      <x:c r="Z130" s="339"/>
    </x:row>
    <x:row r="131">
      <x:c r="A131" s="339"/>
      <x:c r="B131" s="339"/>
      <x:c r="C131" s="339"/>
      <x:c r="D131" s="339"/>
      <x:c r="E131" s="339"/>
      <x:c r="F131" s="339"/>
      <x:c r="G131" s="339"/>
      <x:c r="H131" s="339"/>
      <x:c r="I131" s="339"/>
      <x:c r="J131" s="339"/>
      <x:c r="K131" s="339"/>
      <x:c r="L131" s="339"/>
      <x:c r="M131" s="339"/>
      <x:c r="N131" s="339"/>
      <x:c r="O131" s="339"/>
      <x:c r="P131" s="339"/>
      <x:c r="Q131" s="339"/>
      <x:c r="R131" s="339"/>
      <x:c r="S131" s="339"/>
      <x:c r="T131" s="339"/>
      <x:c r="U131" s="1194"/>
      <x:c r="V131" s="1194"/>
      <x:c r="W131" s="1194"/>
      <x:c r="X131" s="1194"/>
      <x:c r="Y131" s="339"/>
      <x:c r="Z131" s="339"/>
    </x:row>
    <x:row r="132">
      <x:c r="A132" s="339"/>
      <x:c r="B132" s="339"/>
      <x:c r="C132" s="339"/>
      <x:c r="D132" s="339"/>
      <x:c r="E132" s="339"/>
      <x:c r="F132" s="339"/>
      <x:c r="G132" s="339"/>
      <x:c r="H132" s="339"/>
      <x:c r="I132" s="339"/>
      <x:c r="J132" s="339"/>
      <x:c r="K132" s="339"/>
      <x:c r="L132" s="339"/>
      <x:c r="M132" s="339"/>
      <x:c r="N132" s="339"/>
      <x:c r="O132" s="339"/>
      <x:c r="P132" s="339"/>
      <x:c r="Q132" s="339"/>
      <x:c r="R132" s="339"/>
      <x:c r="S132" s="339"/>
      <x:c r="T132" s="339"/>
      <x:c r="U132" s="1194"/>
      <x:c r="V132" s="1194"/>
      <x:c r="W132" s="1194"/>
      <x:c r="X132" s="1194"/>
      <x:c r="Y132" s="339"/>
      <x:c r="Z132" s="339"/>
    </x:row>
    <x:row r="133">
      <x:c r="A133" s="339"/>
      <x:c r="B133" s="339"/>
      <x:c r="C133" s="339"/>
      <x:c r="D133" s="339"/>
      <x:c r="E133" s="339"/>
      <x:c r="F133" s="339"/>
      <x:c r="G133" s="339"/>
      <x:c r="H133" s="339"/>
      <x:c r="I133" s="339"/>
      <x:c r="J133" s="339"/>
      <x:c r="K133" s="339"/>
      <x:c r="L133" s="339"/>
      <x:c r="M133" s="339"/>
      <x:c r="N133" s="339"/>
      <x:c r="O133" s="339"/>
      <x:c r="P133" s="339"/>
      <x:c r="Q133" s="339"/>
      <x:c r="R133" s="339"/>
      <x:c r="S133" s="339"/>
      <x:c r="T133" s="339"/>
      <x:c r="U133" s="1194"/>
      <x:c r="V133" s="1194"/>
      <x:c r="W133" s="1194"/>
      <x:c r="X133" s="1194"/>
      <x:c r="Y133" s="339"/>
      <x:c r="Z133" s="339"/>
    </x:row>
    <x:row r="134">
      <x:c r="A134" s="339"/>
      <x:c r="B134" s="339"/>
      <x:c r="C134" s="339"/>
      <x:c r="D134" s="339"/>
      <x:c r="E134" s="339"/>
      <x:c r="F134" s="339"/>
      <x:c r="G134" s="339"/>
      <x:c r="H134" s="339"/>
      <x:c r="I134" s="339"/>
      <x:c r="J134" s="339"/>
      <x:c r="K134" s="339"/>
      <x:c r="L134" s="339"/>
      <x:c r="M134" s="339"/>
      <x:c r="N134" s="339"/>
      <x:c r="O134" s="339"/>
      <x:c r="P134" s="339"/>
      <x:c r="Q134" s="339"/>
      <x:c r="R134" s="339"/>
      <x:c r="S134" s="339"/>
      <x:c r="T134" s="339"/>
      <x:c r="U134" s="1194"/>
      <x:c r="V134" s="1194"/>
      <x:c r="W134" s="1194"/>
      <x:c r="X134" s="1194"/>
      <x:c r="Y134" s="339"/>
      <x:c r="Z134" s="339"/>
    </x:row>
    <x:row r="135">
      <x:c r="A135" s="339"/>
      <x:c r="B135" s="339"/>
      <x:c r="C135" s="339"/>
      <x:c r="D135" s="339"/>
      <x:c r="E135" s="339"/>
      <x:c r="F135" s="339"/>
      <x:c r="G135" s="339"/>
      <x:c r="H135" s="339"/>
      <x:c r="I135" s="339"/>
      <x:c r="J135" s="339"/>
      <x:c r="K135" s="339"/>
      <x:c r="L135" s="339"/>
      <x:c r="M135" s="339"/>
      <x:c r="N135" s="339"/>
      <x:c r="O135" s="339"/>
      <x:c r="P135" s="339"/>
      <x:c r="Q135" s="339"/>
      <x:c r="R135" s="339"/>
      <x:c r="S135" s="339"/>
      <x:c r="T135" s="339"/>
      <x:c r="U135" s="1194"/>
      <x:c r="V135" s="1194"/>
      <x:c r="W135" s="1194"/>
      <x:c r="X135" s="1194"/>
      <x:c r="Y135" s="339"/>
      <x:c r="Z135" s="339"/>
    </x:row>
    <x:row r="136">
      <x:c r="A136" s="339"/>
      <x:c r="B136" s="339"/>
      <x:c r="C136" s="339"/>
      <x:c r="D136" s="339"/>
      <x:c r="E136" s="339"/>
      <x:c r="F136" s="339"/>
      <x:c r="G136" s="339"/>
      <x:c r="H136" s="339"/>
      <x:c r="I136" s="339"/>
      <x:c r="J136" s="339"/>
      <x:c r="K136" s="339"/>
      <x:c r="L136" s="339"/>
      <x:c r="M136" s="339"/>
      <x:c r="N136" s="339"/>
      <x:c r="O136" s="339"/>
      <x:c r="P136" s="339"/>
      <x:c r="Q136" s="339"/>
      <x:c r="R136" s="339"/>
      <x:c r="S136" s="339"/>
      <x:c r="T136" s="339"/>
      <x:c r="U136" s="1194"/>
      <x:c r="V136" s="1194"/>
      <x:c r="W136" s="1194"/>
      <x:c r="X136" s="1194"/>
      <x:c r="Y136" s="339"/>
      <x:c r="Z136" s="339"/>
    </x:row>
    <x:row r="137">
      <x:c r="A137" s="339"/>
      <x:c r="B137" s="339"/>
      <x:c r="C137" s="339"/>
      <x:c r="D137" s="339"/>
      <x:c r="E137" s="339"/>
      <x:c r="F137" s="339"/>
      <x:c r="G137" s="339"/>
      <x:c r="H137" s="339"/>
      <x:c r="I137" s="339"/>
      <x:c r="J137" s="339"/>
      <x:c r="K137" s="339"/>
      <x:c r="L137" s="339"/>
      <x:c r="M137" s="339"/>
      <x:c r="N137" s="339"/>
      <x:c r="O137" s="339"/>
      <x:c r="P137" s="339"/>
      <x:c r="Q137" s="339"/>
      <x:c r="R137" s="339"/>
      <x:c r="S137" s="339"/>
      <x:c r="T137" s="339"/>
      <x:c r="U137" s="1194"/>
      <x:c r="V137" s="1194"/>
      <x:c r="W137" s="1194"/>
      <x:c r="X137" s="1194"/>
      <x:c r="Y137" s="339"/>
      <x:c r="Z137" s="339"/>
    </x:row>
    <x:row r="138">
      <x:c r="A138" s="339"/>
      <x:c r="B138" s="339"/>
      <x:c r="C138" s="339"/>
      <x:c r="D138" s="339"/>
      <x:c r="E138" s="339"/>
      <x:c r="F138" s="339"/>
      <x:c r="G138" s="339"/>
      <x:c r="H138" s="339"/>
      <x:c r="I138" s="339"/>
      <x:c r="J138" s="339"/>
      <x:c r="K138" s="339"/>
      <x:c r="L138" s="339"/>
      <x:c r="M138" s="339"/>
      <x:c r="N138" s="339"/>
      <x:c r="O138" s="339"/>
      <x:c r="P138" s="339"/>
      <x:c r="Q138" s="339"/>
      <x:c r="R138" s="339"/>
      <x:c r="S138" s="339"/>
      <x:c r="T138" s="339"/>
      <x:c r="U138" s="1194"/>
      <x:c r="V138" s="1194"/>
      <x:c r="W138" s="1194"/>
      <x:c r="X138" s="1194"/>
      <x:c r="Y138" s="339"/>
      <x:c r="Z138" s="339"/>
    </x:row>
    <x:row r="139">
      <x:c r="A139" s="339"/>
      <x:c r="B139" s="339"/>
      <x:c r="C139" s="339"/>
      <x:c r="D139" s="339"/>
      <x:c r="E139" s="339"/>
      <x:c r="F139" s="339"/>
      <x:c r="G139" s="339"/>
      <x:c r="H139" s="339"/>
      <x:c r="I139" s="339"/>
      <x:c r="J139" s="339"/>
      <x:c r="K139" s="339"/>
      <x:c r="L139" s="339"/>
      <x:c r="M139" s="339"/>
      <x:c r="N139" s="339"/>
      <x:c r="O139" s="339"/>
      <x:c r="P139" s="339"/>
      <x:c r="Q139" s="339"/>
      <x:c r="R139" s="339"/>
      <x:c r="S139" s="339"/>
      <x:c r="T139" s="339"/>
      <x:c r="U139" s="1194"/>
      <x:c r="V139" s="1194"/>
      <x:c r="W139" s="1194"/>
      <x:c r="X139" s="1194"/>
      <x:c r="Y139" s="339"/>
      <x:c r="Z139" s="339"/>
    </x:row>
    <x:row r="140">
      <x:c r="A140" s="339"/>
      <x:c r="B140" s="339"/>
      <x:c r="C140" s="339"/>
      <x:c r="D140" s="339"/>
      <x:c r="E140" s="339"/>
      <x:c r="F140" s="339"/>
      <x:c r="G140" s="339"/>
      <x:c r="H140" s="339"/>
      <x:c r="I140" s="339"/>
      <x:c r="J140" s="339"/>
      <x:c r="K140" s="339"/>
      <x:c r="L140" s="339"/>
      <x:c r="M140" s="339"/>
      <x:c r="N140" s="339"/>
      <x:c r="O140" s="339"/>
      <x:c r="P140" s="339"/>
      <x:c r="Q140" s="339"/>
      <x:c r="R140" s="339"/>
      <x:c r="S140" s="339"/>
      <x:c r="T140" s="339"/>
      <x:c r="U140" s="1194"/>
      <x:c r="V140" s="1194"/>
      <x:c r="W140" s="1194"/>
      <x:c r="X140" s="1194"/>
      <x:c r="Y140" s="339"/>
      <x:c r="Z140" s="339"/>
    </x:row>
    <x:row r="141">
      <x:c r="A141" s="339"/>
      <x:c r="B141" s="339"/>
      <x:c r="C141" s="339"/>
      <x:c r="D141" s="339"/>
      <x:c r="E141" s="339"/>
      <x:c r="F141" s="339"/>
      <x:c r="G141" s="339"/>
      <x:c r="H141" s="339"/>
      <x:c r="I141" s="339"/>
      <x:c r="J141" s="339"/>
      <x:c r="K141" s="339"/>
      <x:c r="L141" s="339"/>
      <x:c r="M141" s="339"/>
      <x:c r="N141" s="339"/>
      <x:c r="O141" s="339"/>
      <x:c r="P141" s="339"/>
      <x:c r="Q141" s="339"/>
      <x:c r="R141" s="339"/>
      <x:c r="S141" s="339"/>
      <x:c r="T141" s="339"/>
      <x:c r="U141" s="1194"/>
      <x:c r="V141" s="1194"/>
      <x:c r="W141" s="1194"/>
      <x:c r="X141" s="1194"/>
      <x:c r="Y141" s="339"/>
      <x:c r="Z141" s="339"/>
    </x:row>
    <x:row r="142">
      <x:c r="A142" s="339"/>
      <x:c r="B142" s="339"/>
      <x:c r="C142" s="339"/>
      <x:c r="D142" s="339"/>
      <x:c r="E142" s="339"/>
      <x:c r="F142" s="339"/>
      <x:c r="G142" s="339"/>
      <x:c r="H142" s="339"/>
      <x:c r="I142" s="339"/>
      <x:c r="J142" s="339"/>
      <x:c r="K142" s="339"/>
      <x:c r="L142" s="339"/>
      <x:c r="M142" s="339"/>
      <x:c r="N142" s="339"/>
      <x:c r="O142" s="339"/>
      <x:c r="P142" s="339"/>
      <x:c r="Q142" s="339"/>
      <x:c r="R142" s="339"/>
      <x:c r="S142" s="339"/>
      <x:c r="T142" s="339"/>
      <x:c r="U142" s="1194"/>
      <x:c r="V142" s="1194"/>
      <x:c r="W142" s="1194"/>
      <x:c r="X142" s="1194"/>
      <x:c r="Y142" s="339"/>
      <x:c r="Z142" s="339"/>
    </x:row>
    <x:row r="143">
      <x:c r="A143" s="339"/>
      <x:c r="B143" s="339"/>
      <x:c r="C143" s="339"/>
      <x:c r="D143" s="339"/>
      <x:c r="E143" s="339"/>
      <x:c r="F143" s="339"/>
      <x:c r="G143" s="339"/>
      <x:c r="H143" s="339"/>
      <x:c r="I143" s="339"/>
      <x:c r="J143" s="339"/>
      <x:c r="K143" s="339"/>
      <x:c r="L143" s="339"/>
      <x:c r="M143" s="339"/>
      <x:c r="N143" s="339"/>
      <x:c r="O143" s="339"/>
      <x:c r="P143" s="339"/>
      <x:c r="Q143" s="339"/>
      <x:c r="R143" s="339"/>
      <x:c r="S143" s="339"/>
      <x:c r="T143" s="339"/>
      <x:c r="U143" s="1194"/>
      <x:c r="V143" s="1194"/>
      <x:c r="W143" s="1194"/>
      <x:c r="X143" s="1194"/>
      <x:c r="Y143" s="339"/>
      <x:c r="Z143" s="339"/>
    </x:row>
    <x:row r="144">
      <x:c r="A144" s="339"/>
      <x:c r="B144" s="339"/>
      <x:c r="C144" s="339"/>
      <x:c r="D144" s="339"/>
      <x:c r="E144" s="339"/>
      <x:c r="F144" s="339"/>
      <x:c r="G144" s="339"/>
      <x:c r="H144" s="339"/>
      <x:c r="I144" s="339"/>
      <x:c r="J144" s="339"/>
      <x:c r="K144" s="339"/>
      <x:c r="L144" s="339"/>
      <x:c r="M144" s="339"/>
      <x:c r="N144" s="339"/>
      <x:c r="O144" s="339"/>
      <x:c r="P144" s="339"/>
      <x:c r="Q144" s="339"/>
      <x:c r="R144" s="339"/>
      <x:c r="S144" s="339"/>
      <x:c r="T144" s="339"/>
      <x:c r="U144" s="1194"/>
      <x:c r="V144" s="1194"/>
      <x:c r="W144" s="1194"/>
      <x:c r="X144" s="1194"/>
      <x:c r="Y144" s="339"/>
      <x:c r="Z144" s="339"/>
    </x:row>
    <x:row r="145">
      <x:c r="A145" s="339"/>
      <x:c r="B145" s="339"/>
      <x:c r="C145" s="339"/>
      <x:c r="D145" s="339"/>
      <x:c r="E145" s="339"/>
      <x:c r="F145" s="339"/>
      <x:c r="G145" s="339"/>
      <x:c r="H145" s="339"/>
      <x:c r="I145" s="339"/>
      <x:c r="J145" s="339"/>
      <x:c r="K145" s="339"/>
      <x:c r="L145" s="339"/>
      <x:c r="M145" s="339"/>
      <x:c r="N145" s="339"/>
      <x:c r="O145" s="339"/>
      <x:c r="P145" s="339"/>
      <x:c r="Q145" s="339"/>
      <x:c r="R145" s="339"/>
      <x:c r="S145" s="339"/>
      <x:c r="T145" s="339"/>
      <x:c r="U145" s="1194"/>
      <x:c r="V145" s="1194"/>
      <x:c r="W145" s="1194"/>
      <x:c r="X145" s="1194"/>
      <x:c r="Y145" s="339"/>
      <x:c r="Z145" s="339"/>
    </x:row>
    <x:row r="146">
      <x:c r="A146" s="339"/>
      <x:c r="B146" s="339"/>
      <x:c r="C146" s="339"/>
      <x:c r="D146" s="339"/>
      <x:c r="E146" s="339"/>
      <x:c r="F146" s="339"/>
      <x:c r="G146" s="339"/>
      <x:c r="H146" s="339"/>
      <x:c r="I146" s="339"/>
      <x:c r="J146" s="339"/>
      <x:c r="K146" s="339"/>
      <x:c r="L146" s="339"/>
      <x:c r="M146" s="339"/>
      <x:c r="N146" s="339"/>
      <x:c r="O146" s="339"/>
      <x:c r="P146" s="339"/>
      <x:c r="Q146" s="339"/>
      <x:c r="R146" s="339"/>
      <x:c r="S146" s="339"/>
      <x:c r="T146" s="339"/>
      <x:c r="U146" s="1194"/>
      <x:c r="V146" s="1194"/>
      <x:c r="W146" s="1194"/>
      <x:c r="X146" s="1194"/>
      <x:c r="Y146" s="339"/>
      <x:c r="Z146" s="339"/>
    </x:row>
    <x:row r="147">
      <x:c r="A147" s="339"/>
      <x:c r="B147" s="339"/>
      <x:c r="C147" s="339"/>
      <x:c r="D147" s="339"/>
      <x:c r="E147" s="339"/>
      <x:c r="F147" s="339"/>
      <x:c r="G147" s="339"/>
      <x:c r="H147" s="339"/>
      <x:c r="I147" s="339"/>
      <x:c r="J147" s="339"/>
      <x:c r="K147" s="339"/>
      <x:c r="L147" s="339"/>
      <x:c r="M147" s="339"/>
      <x:c r="N147" s="339"/>
      <x:c r="O147" s="339"/>
      <x:c r="P147" s="339"/>
      <x:c r="Q147" s="339"/>
      <x:c r="R147" s="339"/>
      <x:c r="S147" s="339"/>
      <x:c r="T147" s="339"/>
      <x:c r="U147" s="1194"/>
      <x:c r="V147" s="1194"/>
      <x:c r="W147" s="1194"/>
      <x:c r="X147" s="1194"/>
      <x:c r="Y147" s="339"/>
      <x:c r="Z147" s="339"/>
    </x:row>
    <x:row r="148">
      <x:c r="A148" s="339"/>
      <x:c r="B148" s="339"/>
      <x:c r="C148" s="339"/>
      <x:c r="D148" s="339"/>
      <x:c r="E148" s="339"/>
      <x:c r="F148" s="339"/>
      <x:c r="G148" s="339"/>
      <x:c r="H148" s="339"/>
      <x:c r="I148" s="339"/>
      <x:c r="J148" s="339"/>
      <x:c r="K148" s="339"/>
      <x:c r="L148" s="339"/>
      <x:c r="M148" s="339"/>
      <x:c r="N148" s="339"/>
      <x:c r="O148" s="339"/>
      <x:c r="P148" s="339"/>
      <x:c r="Q148" s="339"/>
      <x:c r="R148" s="339"/>
      <x:c r="S148" s="339"/>
      <x:c r="T148" s="339"/>
      <x:c r="U148" s="1194"/>
      <x:c r="V148" s="1194"/>
      <x:c r="W148" s="1194"/>
      <x:c r="X148" s="1194"/>
      <x:c r="Y148" s="339"/>
      <x:c r="Z148" s="339"/>
    </x:row>
    <x:row r="149">
      <x:c r="A149" s="339"/>
      <x:c r="B149" s="339"/>
      <x:c r="C149" s="339"/>
      <x:c r="D149" s="339"/>
      <x:c r="E149" s="339"/>
      <x:c r="F149" s="339"/>
      <x:c r="G149" s="339"/>
      <x:c r="H149" s="339"/>
      <x:c r="I149" s="339"/>
      <x:c r="J149" s="339"/>
      <x:c r="K149" s="339"/>
      <x:c r="L149" s="339"/>
      <x:c r="M149" s="339"/>
      <x:c r="N149" s="339"/>
      <x:c r="O149" s="339"/>
      <x:c r="P149" s="339"/>
      <x:c r="Q149" s="339"/>
      <x:c r="R149" s="339"/>
      <x:c r="S149" s="339"/>
      <x:c r="T149" s="339"/>
      <x:c r="U149" s="1194"/>
      <x:c r="V149" s="1194"/>
      <x:c r="W149" s="1194"/>
      <x:c r="X149" s="1194"/>
      <x:c r="Y149" s="339"/>
      <x:c r="Z149" s="339"/>
    </x:row>
    <x:row r="150">
      <x:c r="A150" s="339"/>
      <x:c r="B150" s="339"/>
      <x:c r="C150" s="339"/>
      <x:c r="D150" s="339"/>
      <x:c r="E150" s="339"/>
      <x:c r="F150" s="339"/>
      <x:c r="G150" s="339"/>
      <x:c r="H150" s="339"/>
      <x:c r="I150" s="339"/>
      <x:c r="J150" s="339"/>
      <x:c r="K150" s="339"/>
      <x:c r="L150" s="339"/>
      <x:c r="M150" s="339"/>
      <x:c r="N150" s="339"/>
      <x:c r="O150" s="339"/>
      <x:c r="P150" s="339"/>
      <x:c r="Q150" s="339"/>
      <x:c r="R150" s="339"/>
      <x:c r="S150" s="339"/>
      <x:c r="T150" s="339"/>
      <x:c r="U150" s="1194"/>
      <x:c r="V150" s="1194"/>
      <x:c r="W150" s="1194"/>
      <x:c r="X150" s="1194"/>
      <x:c r="Y150" s="339"/>
      <x:c r="Z150" s="339"/>
    </x:row>
    <x:row r="151">
      <x:c r="A151" s="339"/>
      <x:c r="B151" s="339"/>
      <x:c r="C151" s="339"/>
      <x:c r="D151" s="339"/>
      <x:c r="E151" s="339"/>
      <x:c r="F151" s="339"/>
      <x:c r="G151" s="339"/>
      <x:c r="H151" s="339"/>
      <x:c r="I151" s="339"/>
      <x:c r="J151" s="339"/>
      <x:c r="K151" s="339"/>
      <x:c r="L151" s="339"/>
      <x:c r="M151" s="339"/>
      <x:c r="N151" s="339"/>
      <x:c r="O151" s="339"/>
      <x:c r="P151" s="339"/>
      <x:c r="Q151" s="339"/>
      <x:c r="R151" s="339"/>
      <x:c r="S151" s="339"/>
      <x:c r="T151" s="339"/>
      <x:c r="U151" s="1194"/>
      <x:c r="V151" s="1194"/>
      <x:c r="W151" s="1194"/>
      <x:c r="X151" s="1194"/>
      <x:c r="Y151" s="339"/>
      <x:c r="Z151" s="339"/>
    </x:row>
    <x:row r="152">
      <x:c r="A152" s="339"/>
      <x:c r="B152" s="339"/>
      <x:c r="C152" s="339"/>
      <x:c r="D152" s="339"/>
      <x:c r="E152" s="339"/>
      <x:c r="F152" s="339"/>
      <x:c r="G152" s="339"/>
      <x:c r="H152" s="339"/>
      <x:c r="I152" s="339"/>
      <x:c r="J152" s="339"/>
      <x:c r="K152" s="339"/>
      <x:c r="L152" s="339"/>
      <x:c r="M152" s="339"/>
      <x:c r="N152" s="339"/>
      <x:c r="O152" s="339"/>
      <x:c r="P152" s="339"/>
      <x:c r="Q152" s="339"/>
      <x:c r="R152" s="339"/>
      <x:c r="S152" s="339"/>
      <x:c r="T152" s="339"/>
      <x:c r="U152" s="1194"/>
      <x:c r="V152" s="1194"/>
      <x:c r="W152" s="1194"/>
      <x:c r="X152" s="1194"/>
      <x:c r="Y152" s="339"/>
      <x:c r="Z152" s="339"/>
    </x:row>
    <x:row r="153">
      <x:c r="A153" s="339"/>
      <x:c r="B153" s="339"/>
      <x:c r="C153" s="339"/>
      <x:c r="D153" s="339"/>
      <x:c r="E153" s="339"/>
      <x:c r="F153" s="339"/>
      <x:c r="G153" s="339"/>
      <x:c r="H153" s="339"/>
      <x:c r="I153" s="339"/>
      <x:c r="J153" s="339"/>
      <x:c r="K153" s="339"/>
      <x:c r="L153" s="339"/>
      <x:c r="M153" s="339"/>
      <x:c r="N153" s="339"/>
      <x:c r="O153" s="339"/>
      <x:c r="P153" s="339"/>
      <x:c r="Q153" s="339"/>
      <x:c r="R153" s="339"/>
      <x:c r="S153" s="339"/>
      <x:c r="T153" s="339"/>
      <x:c r="U153" s="1194"/>
      <x:c r="V153" s="1194"/>
      <x:c r="W153" s="1194"/>
      <x:c r="X153" s="1194"/>
      <x:c r="Y153" s="339"/>
      <x:c r="Z153" s="339"/>
    </x:row>
    <x:row r="154">
      <x:c r="A154" s="339"/>
      <x:c r="B154" s="339"/>
      <x:c r="C154" s="339"/>
      <x:c r="D154" s="339"/>
      <x:c r="E154" s="339"/>
      <x:c r="F154" s="339"/>
      <x:c r="G154" s="339"/>
      <x:c r="H154" s="339"/>
      <x:c r="I154" s="339"/>
      <x:c r="J154" s="339"/>
      <x:c r="K154" s="339"/>
      <x:c r="L154" s="339"/>
      <x:c r="M154" s="339"/>
      <x:c r="N154" s="339"/>
      <x:c r="O154" s="339"/>
      <x:c r="P154" s="339"/>
      <x:c r="Q154" s="339"/>
      <x:c r="R154" s="339"/>
      <x:c r="S154" s="339"/>
      <x:c r="T154" s="339"/>
      <x:c r="U154" s="1194"/>
      <x:c r="V154" s="1194"/>
      <x:c r="W154" s="1194"/>
      <x:c r="X154" s="1194"/>
      <x:c r="Y154" s="339"/>
      <x:c r="Z154" s="339"/>
    </x:row>
    <x:row r="155">
      <x:c r="A155" s="339"/>
      <x:c r="B155" s="339"/>
      <x:c r="C155" s="339"/>
      <x:c r="D155" s="339"/>
      <x:c r="E155" s="339"/>
      <x:c r="F155" s="339"/>
      <x:c r="G155" s="339"/>
      <x:c r="H155" s="339"/>
      <x:c r="I155" s="339"/>
      <x:c r="J155" s="339"/>
      <x:c r="K155" s="339"/>
      <x:c r="L155" s="339"/>
      <x:c r="M155" s="339"/>
      <x:c r="N155" s="339"/>
      <x:c r="O155" s="339"/>
      <x:c r="P155" s="339"/>
      <x:c r="Q155" s="339"/>
      <x:c r="R155" s="339"/>
      <x:c r="S155" s="339"/>
      <x:c r="T155" s="339"/>
      <x:c r="U155" s="1194"/>
      <x:c r="V155" s="1194"/>
      <x:c r="W155" s="1194"/>
      <x:c r="X155" s="1194"/>
      <x:c r="Y155" s="339"/>
      <x:c r="Z155" s="339"/>
    </x:row>
    <x:row r="156">
      <x:c r="A156" s="339"/>
      <x:c r="B156" s="339"/>
      <x:c r="C156" s="339"/>
      <x:c r="D156" s="339"/>
      <x:c r="E156" s="339"/>
      <x:c r="F156" s="339"/>
      <x:c r="G156" s="339"/>
      <x:c r="H156" s="339"/>
      <x:c r="I156" s="339"/>
      <x:c r="J156" s="339"/>
      <x:c r="K156" s="339"/>
      <x:c r="L156" s="339"/>
      <x:c r="M156" s="339"/>
      <x:c r="N156" s="339"/>
      <x:c r="O156" s="339"/>
      <x:c r="P156" s="339"/>
      <x:c r="Q156" s="339"/>
      <x:c r="R156" s="339"/>
      <x:c r="S156" s="339"/>
      <x:c r="T156" s="339"/>
      <x:c r="U156" s="1194"/>
      <x:c r="V156" s="1194"/>
      <x:c r="W156" s="1194"/>
      <x:c r="X156" s="1194"/>
      <x:c r="Y156" s="339"/>
      <x:c r="Z156" s="339"/>
    </x:row>
    <x:row r="157">
      <x:c r="A157" s="339"/>
      <x:c r="B157" s="339"/>
      <x:c r="C157" s="339"/>
      <x:c r="D157" s="339"/>
      <x:c r="E157" s="339"/>
      <x:c r="F157" s="339"/>
      <x:c r="G157" s="339"/>
      <x:c r="H157" s="339"/>
      <x:c r="I157" s="339"/>
      <x:c r="J157" s="339"/>
      <x:c r="K157" s="339"/>
      <x:c r="L157" s="339"/>
      <x:c r="M157" s="339"/>
      <x:c r="N157" s="339"/>
      <x:c r="O157" s="339"/>
      <x:c r="P157" s="339"/>
      <x:c r="Q157" s="339"/>
      <x:c r="R157" s="339"/>
      <x:c r="S157" s="339"/>
      <x:c r="T157" s="339"/>
      <x:c r="U157" s="1194"/>
      <x:c r="V157" s="1194"/>
      <x:c r="W157" s="1194"/>
      <x:c r="X157" s="1194"/>
      <x:c r="Y157" s="339"/>
      <x:c r="Z157" s="339"/>
    </x:row>
    <x:row r="158">
      <x:c r="A158" s="339"/>
      <x:c r="B158" s="339"/>
      <x:c r="C158" s="339"/>
      <x:c r="D158" s="339"/>
      <x:c r="E158" s="339"/>
      <x:c r="F158" s="339"/>
      <x:c r="G158" s="339"/>
      <x:c r="H158" s="339"/>
      <x:c r="I158" s="339"/>
      <x:c r="J158" s="339"/>
      <x:c r="K158" s="339"/>
      <x:c r="L158" s="339"/>
      <x:c r="M158" s="339"/>
      <x:c r="N158" s="339"/>
      <x:c r="O158" s="339"/>
      <x:c r="P158" s="339"/>
      <x:c r="Q158" s="339"/>
      <x:c r="R158" s="339"/>
      <x:c r="S158" s="339"/>
      <x:c r="T158" s="339"/>
      <x:c r="U158" s="1194"/>
      <x:c r="V158" s="1194"/>
      <x:c r="W158" s="1194"/>
      <x:c r="X158" s="1194"/>
      <x:c r="Y158" s="339"/>
      <x:c r="Z158" s="339"/>
    </x:row>
    <x:row r="159">
      <x:c r="A159" s="339"/>
      <x:c r="B159" s="339"/>
      <x:c r="C159" s="339"/>
      <x:c r="D159" s="339"/>
      <x:c r="E159" s="339"/>
      <x:c r="F159" s="339"/>
      <x:c r="G159" s="339"/>
      <x:c r="H159" s="339"/>
      <x:c r="I159" s="339"/>
      <x:c r="J159" s="339"/>
      <x:c r="K159" s="339"/>
      <x:c r="L159" s="339"/>
      <x:c r="M159" s="339"/>
      <x:c r="N159" s="339"/>
      <x:c r="O159" s="339"/>
      <x:c r="P159" s="339"/>
      <x:c r="Q159" s="339"/>
      <x:c r="R159" s="339"/>
      <x:c r="S159" s="339"/>
      <x:c r="T159" s="339"/>
      <x:c r="U159" s="1194"/>
      <x:c r="V159" s="1194"/>
      <x:c r="W159" s="1194"/>
      <x:c r="X159" s="1194"/>
      <x:c r="Y159" s="339"/>
      <x:c r="Z159" s="339"/>
    </x:row>
    <x:row r="160">
      <x:c r="A160" s="339"/>
      <x:c r="B160" s="339"/>
      <x:c r="C160" s="339"/>
      <x:c r="D160" s="339"/>
      <x:c r="E160" s="339"/>
      <x:c r="F160" s="339"/>
      <x:c r="G160" s="339"/>
      <x:c r="H160" s="339"/>
      <x:c r="I160" s="339"/>
      <x:c r="J160" s="339"/>
      <x:c r="K160" s="339"/>
      <x:c r="L160" s="339"/>
      <x:c r="M160" s="339"/>
      <x:c r="N160" s="339"/>
      <x:c r="O160" s="339"/>
      <x:c r="P160" s="339"/>
      <x:c r="Q160" s="339"/>
      <x:c r="R160" s="339"/>
      <x:c r="S160" s="339"/>
      <x:c r="T160" s="339"/>
      <x:c r="U160" s="1194"/>
      <x:c r="V160" s="1194"/>
      <x:c r="W160" s="1194"/>
      <x:c r="X160" s="1194"/>
      <x:c r="Y160" s="339"/>
      <x:c r="Z160" s="339"/>
    </x:row>
    <x:row r="161">
      <x:c r="A161" s="339"/>
      <x:c r="B161" s="339"/>
      <x:c r="C161" s="339"/>
      <x:c r="D161" s="339"/>
      <x:c r="E161" s="339"/>
      <x:c r="F161" s="339"/>
      <x:c r="G161" s="339"/>
      <x:c r="H161" s="339"/>
      <x:c r="I161" s="339"/>
      <x:c r="J161" s="339"/>
      <x:c r="K161" s="339"/>
      <x:c r="L161" s="339"/>
      <x:c r="M161" s="339"/>
      <x:c r="N161" s="339"/>
      <x:c r="O161" s="339"/>
      <x:c r="P161" s="339"/>
      <x:c r="Q161" s="339"/>
      <x:c r="R161" s="339"/>
      <x:c r="S161" s="339"/>
      <x:c r="T161" s="339"/>
      <x:c r="U161" s="1194"/>
      <x:c r="V161" s="1194"/>
      <x:c r="W161" s="1194"/>
      <x:c r="X161" s="1194"/>
      <x:c r="Y161" s="339"/>
      <x:c r="Z161" s="339"/>
    </x:row>
    <x:row r="162">
      <x:c r="A162" s="339"/>
      <x:c r="B162" s="339"/>
      <x:c r="C162" s="339"/>
      <x:c r="D162" s="339"/>
      <x:c r="E162" s="339"/>
      <x:c r="F162" s="339"/>
      <x:c r="G162" s="339"/>
      <x:c r="H162" s="339"/>
      <x:c r="I162" s="339"/>
      <x:c r="J162" s="339"/>
      <x:c r="K162" s="339"/>
      <x:c r="L162" s="339"/>
      <x:c r="M162" s="339"/>
      <x:c r="N162" s="339"/>
      <x:c r="O162" s="339"/>
      <x:c r="P162" s="339"/>
      <x:c r="Q162" s="339"/>
      <x:c r="R162" s="339"/>
      <x:c r="S162" s="339"/>
      <x:c r="T162" s="339"/>
      <x:c r="U162" s="1194"/>
      <x:c r="V162" s="1194"/>
      <x:c r="W162" s="1194"/>
      <x:c r="X162" s="1194"/>
      <x:c r="Y162" s="339"/>
      <x:c r="Z162" s="339"/>
    </x:row>
    <x:row r="163">
      <x:c r="A163" s="339"/>
      <x:c r="B163" s="339"/>
      <x:c r="C163" s="339"/>
      <x:c r="D163" s="339"/>
      <x:c r="E163" s="339"/>
      <x:c r="F163" s="339"/>
      <x:c r="G163" s="339"/>
      <x:c r="H163" s="339"/>
      <x:c r="I163" s="339"/>
      <x:c r="J163" s="339"/>
      <x:c r="K163" s="339"/>
      <x:c r="L163" s="339"/>
      <x:c r="M163" s="339"/>
      <x:c r="N163" s="339"/>
      <x:c r="O163" s="339"/>
      <x:c r="P163" s="339"/>
      <x:c r="Q163" s="339"/>
      <x:c r="R163" s="339"/>
      <x:c r="S163" s="339"/>
      <x:c r="T163" s="339"/>
      <x:c r="U163" s="1194"/>
      <x:c r="V163" s="1194"/>
      <x:c r="W163" s="1194"/>
      <x:c r="X163" s="1194"/>
      <x:c r="Y163" s="339"/>
      <x:c r="Z163" s="339"/>
    </x:row>
    <x:row r="164">
      <x:c r="A164" s="339"/>
      <x:c r="B164" s="339"/>
      <x:c r="C164" s="339"/>
      <x:c r="D164" s="339"/>
      <x:c r="E164" s="339"/>
      <x:c r="F164" s="339"/>
      <x:c r="G164" s="339"/>
      <x:c r="H164" s="339"/>
      <x:c r="I164" s="339"/>
      <x:c r="J164" s="339"/>
      <x:c r="K164" s="339"/>
      <x:c r="L164" s="339"/>
      <x:c r="M164" s="339"/>
      <x:c r="N164" s="339"/>
      <x:c r="O164" s="339"/>
      <x:c r="P164" s="339"/>
      <x:c r="Q164" s="339"/>
      <x:c r="R164" s="339"/>
      <x:c r="S164" s="339"/>
      <x:c r="T164" s="339"/>
      <x:c r="U164" s="1194"/>
      <x:c r="V164" s="1194"/>
      <x:c r="W164" s="1194"/>
      <x:c r="X164" s="1194"/>
      <x:c r="Y164" s="339"/>
      <x:c r="Z164" s="339"/>
    </x:row>
    <x:row r="165">
      <x:c r="A165" s="339"/>
      <x:c r="B165" s="339"/>
      <x:c r="C165" s="339"/>
      <x:c r="D165" s="339"/>
      <x:c r="E165" s="339"/>
      <x:c r="F165" s="339"/>
      <x:c r="G165" s="339"/>
      <x:c r="H165" s="339"/>
      <x:c r="I165" s="339"/>
      <x:c r="J165" s="339"/>
      <x:c r="K165" s="339"/>
      <x:c r="L165" s="339"/>
      <x:c r="M165" s="339"/>
      <x:c r="N165" s="339"/>
      <x:c r="O165" s="339"/>
      <x:c r="P165" s="339"/>
      <x:c r="Q165" s="339"/>
      <x:c r="R165" s="339"/>
      <x:c r="S165" s="339"/>
      <x:c r="T165" s="339"/>
      <x:c r="U165" s="1194"/>
      <x:c r="V165" s="1194"/>
      <x:c r="W165" s="1194"/>
      <x:c r="X165" s="1194"/>
      <x:c r="Y165" s="339"/>
      <x:c r="Z165" s="339"/>
    </x:row>
    <x:row r="166">
      <x:c r="A166" s="339"/>
      <x:c r="B166" s="339"/>
      <x:c r="C166" s="339"/>
      <x:c r="D166" s="339"/>
      <x:c r="E166" s="339"/>
      <x:c r="F166" s="339"/>
      <x:c r="G166" s="339"/>
      <x:c r="H166" s="339"/>
      <x:c r="I166" s="339"/>
      <x:c r="J166" s="339"/>
      <x:c r="K166" s="339"/>
      <x:c r="L166" s="339"/>
      <x:c r="M166" s="339"/>
      <x:c r="N166" s="339"/>
      <x:c r="O166" s="339"/>
      <x:c r="P166" s="339"/>
      <x:c r="Q166" s="339"/>
      <x:c r="R166" s="339"/>
      <x:c r="S166" s="339"/>
      <x:c r="T166" s="339"/>
      <x:c r="U166" s="1194"/>
      <x:c r="V166" s="1194"/>
      <x:c r="W166" s="1194"/>
      <x:c r="X166" s="1194"/>
      <x:c r="Y166" s="339"/>
      <x:c r="Z166" s="339"/>
    </x:row>
    <x:row r="167">
      <x:c r="A167" s="339"/>
      <x:c r="B167" s="339"/>
      <x:c r="C167" s="339"/>
      <x:c r="D167" s="339"/>
      <x:c r="E167" s="339"/>
      <x:c r="F167" s="339"/>
      <x:c r="G167" s="339"/>
      <x:c r="H167" s="339"/>
      <x:c r="I167" s="339"/>
      <x:c r="J167" s="339"/>
      <x:c r="K167" s="339"/>
      <x:c r="L167" s="339"/>
      <x:c r="M167" s="339"/>
      <x:c r="N167" s="339"/>
      <x:c r="O167" s="339"/>
      <x:c r="P167" s="339"/>
      <x:c r="Q167" s="339"/>
      <x:c r="R167" s="339"/>
      <x:c r="S167" s="339"/>
      <x:c r="T167" s="339"/>
      <x:c r="U167" s="1194"/>
      <x:c r="V167" s="1194"/>
      <x:c r="W167" s="1194"/>
      <x:c r="X167" s="1194"/>
      <x:c r="Y167" s="339"/>
      <x:c r="Z167" s="339"/>
    </x:row>
    <x:row r="168">
      <x:c r="A168" s="339"/>
      <x:c r="B168" s="339"/>
      <x:c r="C168" s="339"/>
      <x:c r="D168" s="339"/>
      <x:c r="E168" s="339"/>
      <x:c r="F168" s="339"/>
      <x:c r="G168" s="339"/>
      <x:c r="H168" s="339"/>
      <x:c r="I168" s="339"/>
      <x:c r="J168" s="339"/>
      <x:c r="K168" s="339"/>
      <x:c r="L168" s="339"/>
      <x:c r="M168" s="339"/>
      <x:c r="N168" s="339"/>
      <x:c r="O168" s="339"/>
      <x:c r="P168" s="339"/>
      <x:c r="Q168" s="339"/>
      <x:c r="R168" s="339"/>
      <x:c r="S168" s="339"/>
      <x:c r="T168" s="339"/>
      <x:c r="U168" s="1194"/>
      <x:c r="V168" s="1194"/>
      <x:c r="W168" s="1194"/>
      <x:c r="X168" s="1194"/>
      <x:c r="Y168" s="339"/>
      <x:c r="Z168" s="339"/>
    </x:row>
    <x:row r="169">
      <x:c r="A169" s="339"/>
      <x:c r="B169" s="339"/>
      <x:c r="C169" s="339"/>
      <x:c r="D169" s="339"/>
      <x:c r="E169" s="339"/>
      <x:c r="F169" s="339"/>
      <x:c r="G169" s="339"/>
      <x:c r="H169" s="339"/>
      <x:c r="I169" s="339"/>
      <x:c r="J169" s="339"/>
      <x:c r="K169" s="339"/>
      <x:c r="L169" s="339"/>
      <x:c r="M169" s="339"/>
      <x:c r="N169" s="339"/>
      <x:c r="O169" s="339"/>
      <x:c r="P169" s="339"/>
      <x:c r="Q169" s="339"/>
      <x:c r="R169" s="339"/>
      <x:c r="S169" s="339"/>
      <x:c r="T169" s="339"/>
      <x:c r="U169" s="1194"/>
      <x:c r="V169" s="1194"/>
      <x:c r="W169" s="1194"/>
      <x:c r="X169" s="1194"/>
      <x:c r="Y169" s="339"/>
      <x:c r="Z169" s="339"/>
    </x:row>
    <x:row r="170">
      <x:c r="A170" s="339"/>
      <x:c r="B170" s="339"/>
      <x:c r="C170" s="339"/>
      <x:c r="D170" s="339"/>
      <x:c r="E170" s="339"/>
      <x:c r="F170" s="339"/>
      <x:c r="G170" s="339"/>
      <x:c r="H170" s="339"/>
      <x:c r="I170" s="339"/>
      <x:c r="J170" s="339"/>
      <x:c r="K170" s="339"/>
      <x:c r="L170" s="339"/>
      <x:c r="M170" s="339"/>
      <x:c r="N170" s="339"/>
      <x:c r="O170" s="339"/>
      <x:c r="P170" s="339"/>
      <x:c r="Q170" s="339"/>
      <x:c r="R170" s="339"/>
      <x:c r="S170" s="339"/>
      <x:c r="T170" s="339"/>
      <x:c r="U170" s="1194"/>
      <x:c r="V170" s="1194"/>
      <x:c r="W170" s="1194"/>
      <x:c r="X170" s="1194"/>
      <x:c r="Y170" s="339"/>
      <x:c r="Z170" s="339"/>
    </x:row>
    <x:row r="171">
      <x:c r="A171" s="339"/>
      <x:c r="B171" s="339"/>
      <x:c r="C171" s="339"/>
      <x:c r="D171" s="339"/>
      <x:c r="E171" s="339"/>
      <x:c r="F171" s="339"/>
      <x:c r="G171" s="339"/>
      <x:c r="H171" s="339"/>
      <x:c r="I171" s="339"/>
      <x:c r="J171" s="339"/>
      <x:c r="K171" s="339"/>
      <x:c r="L171" s="339"/>
      <x:c r="M171" s="339"/>
      <x:c r="N171" s="339"/>
      <x:c r="O171" s="339"/>
      <x:c r="P171" s="339"/>
      <x:c r="Q171" s="339"/>
      <x:c r="R171" s="339"/>
      <x:c r="S171" s="339"/>
      <x:c r="T171" s="339"/>
      <x:c r="U171" s="1194"/>
      <x:c r="V171" s="1194"/>
      <x:c r="W171" s="1194"/>
      <x:c r="X171" s="1194"/>
      <x:c r="Y171" s="339"/>
      <x:c r="Z171" s="339"/>
    </x:row>
    <x:row r="172">
      <x:c r="A172" s="339"/>
      <x:c r="B172" s="339"/>
      <x:c r="C172" s="339"/>
      <x:c r="D172" s="339"/>
      <x:c r="E172" s="339"/>
      <x:c r="F172" s="339"/>
      <x:c r="G172" s="339"/>
      <x:c r="H172" s="339"/>
      <x:c r="I172" s="339"/>
      <x:c r="J172" s="339"/>
      <x:c r="K172" s="339"/>
      <x:c r="L172" s="339"/>
      <x:c r="M172" s="339"/>
      <x:c r="N172" s="339"/>
      <x:c r="O172" s="339"/>
      <x:c r="P172" s="339"/>
      <x:c r="Q172" s="339"/>
      <x:c r="R172" s="339"/>
      <x:c r="S172" s="339"/>
      <x:c r="T172" s="339"/>
      <x:c r="U172" s="1194"/>
      <x:c r="V172" s="1194"/>
      <x:c r="W172" s="1194"/>
      <x:c r="X172" s="1194"/>
      <x:c r="Y172" s="339"/>
      <x:c r="Z172" s="339"/>
    </x:row>
    <x:row r="173">
      <x:c r="A173" s="339"/>
      <x:c r="B173" s="339"/>
      <x:c r="C173" s="339"/>
      <x:c r="D173" s="339"/>
      <x:c r="E173" s="339"/>
      <x:c r="F173" s="339"/>
      <x:c r="G173" s="339"/>
      <x:c r="H173" s="339"/>
      <x:c r="I173" s="339"/>
      <x:c r="J173" s="339"/>
      <x:c r="K173" s="339"/>
      <x:c r="L173" s="339"/>
      <x:c r="M173" s="339"/>
      <x:c r="N173" s="339"/>
      <x:c r="O173" s="339"/>
      <x:c r="P173" s="339"/>
      <x:c r="Q173" s="339"/>
      <x:c r="R173" s="339"/>
      <x:c r="S173" s="339"/>
      <x:c r="T173" s="339"/>
      <x:c r="U173" s="1194"/>
      <x:c r="V173" s="1194"/>
      <x:c r="W173" s="1194"/>
      <x:c r="X173" s="1194"/>
      <x:c r="Y173" s="339"/>
      <x:c r="Z173" s="339"/>
    </x:row>
    <x:row r="174">
      <x:c r="A174" s="339"/>
      <x:c r="B174" s="339"/>
      <x:c r="C174" s="339"/>
      <x:c r="D174" s="339"/>
      <x:c r="E174" s="339"/>
      <x:c r="F174" s="339"/>
      <x:c r="G174" s="339"/>
      <x:c r="H174" s="339"/>
      <x:c r="I174" s="339"/>
      <x:c r="J174" s="339"/>
      <x:c r="K174" s="339"/>
      <x:c r="L174" s="339"/>
      <x:c r="M174" s="339"/>
      <x:c r="N174" s="339"/>
      <x:c r="O174" s="339"/>
      <x:c r="P174" s="339"/>
      <x:c r="Q174" s="339"/>
      <x:c r="R174" s="339"/>
      <x:c r="S174" s="339"/>
      <x:c r="T174" s="339"/>
      <x:c r="U174" s="1194"/>
      <x:c r="V174" s="1194"/>
      <x:c r="W174" s="1194"/>
      <x:c r="X174" s="1194"/>
      <x:c r="Y174" s="339"/>
      <x:c r="Z174" s="339"/>
    </x:row>
    <x:row r="175">
      <x:c r="A175" s="339"/>
      <x:c r="B175" s="339"/>
      <x:c r="C175" s="339"/>
      <x:c r="D175" s="339"/>
      <x:c r="E175" s="339"/>
      <x:c r="F175" s="339"/>
      <x:c r="G175" s="339"/>
      <x:c r="H175" s="339"/>
      <x:c r="I175" s="339"/>
      <x:c r="J175" s="339"/>
      <x:c r="K175" s="339"/>
      <x:c r="L175" s="339"/>
      <x:c r="M175" s="339"/>
      <x:c r="N175" s="339"/>
      <x:c r="O175" s="339"/>
      <x:c r="P175" s="339"/>
      <x:c r="Q175" s="339"/>
      <x:c r="R175" s="339"/>
      <x:c r="S175" s="339"/>
      <x:c r="T175" s="339"/>
      <x:c r="U175" s="1194"/>
      <x:c r="V175" s="1194"/>
      <x:c r="W175" s="1194"/>
      <x:c r="X175" s="1194"/>
      <x:c r="Y175" s="339"/>
      <x:c r="Z175" s="339"/>
    </x:row>
    <x:row r="176">
      <x:c r="A176" s="339"/>
      <x:c r="B176" s="339"/>
      <x:c r="C176" s="339"/>
      <x:c r="D176" s="339"/>
      <x:c r="E176" s="339"/>
      <x:c r="F176" s="339"/>
      <x:c r="G176" s="339"/>
      <x:c r="H176" s="339"/>
      <x:c r="I176" s="339"/>
      <x:c r="J176" s="339"/>
      <x:c r="K176" s="339"/>
      <x:c r="L176" s="339"/>
      <x:c r="M176" s="339"/>
      <x:c r="N176" s="339"/>
      <x:c r="O176" s="339"/>
      <x:c r="P176" s="339"/>
      <x:c r="Q176" s="339"/>
      <x:c r="R176" s="339"/>
      <x:c r="S176" s="339"/>
      <x:c r="T176" s="339"/>
      <x:c r="U176" s="1194"/>
      <x:c r="V176" s="1194"/>
      <x:c r="W176" s="1194"/>
      <x:c r="X176" s="1194"/>
      <x:c r="Y176" s="339"/>
      <x:c r="Z176" s="339"/>
    </x:row>
    <x:row r="177">
      <x:c r="A177" s="339"/>
      <x:c r="B177" s="339"/>
      <x:c r="C177" s="339"/>
      <x:c r="D177" s="339"/>
      <x:c r="E177" s="339"/>
      <x:c r="F177" s="339"/>
      <x:c r="G177" s="339"/>
      <x:c r="H177" s="339"/>
      <x:c r="I177" s="339"/>
      <x:c r="J177" s="339"/>
      <x:c r="K177" s="339"/>
      <x:c r="L177" s="339"/>
      <x:c r="M177" s="339"/>
      <x:c r="N177" s="339"/>
      <x:c r="O177" s="339"/>
      <x:c r="P177" s="339"/>
      <x:c r="Q177" s="339"/>
      <x:c r="R177" s="339"/>
      <x:c r="S177" s="339"/>
      <x:c r="T177" s="339"/>
      <x:c r="U177" s="1194"/>
      <x:c r="V177" s="1194"/>
      <x:c r="W177" s="1194"/>
      <x:c r="X177" s="1194"/>
      <x:c r="Y177" s="339"/>
      <x:c r="Z177" s="339"/>
    </x:row>
    <x:row r="178">
      <x:c r="A178" s="339"/>
      <x:c r="B178" s="339"/>
      <x:c r="C178" s="339"/>
      <x:c r="D178" s="339"/>
      <x:c r="E178" s="339"/>
      <x:c r="F178" s="339"/>
      <x:c r="G178" s="339"/>
      <x:c r="H178" s="339"/>
      <x:c r="I178" s="339"/>
      <x:c r="J178" s="339"/>
      <x:c r="K178" s="339"/>
      <x:c r="L178" s="339"/>
      <x:c r="M178" s="339"/>
      <x:c r="N178" s="339"/>
      <x:c r="O178" s="339"/>
      <x:c r="P178" s="339"/>
      <x:c r="Q178" s="339"/>
      <x:c r="R178" s="339"/>
      <x:c r="S178" s="339"/>
      <x:c r="T178" s="339"/>
      <x:c r="U178" s="1194"/>
      <x:c r="V178" s="1194"/>
      <x:c r="W178" s="1194"/>
      <x:c r="X178" s="1194"/>
      <x:c r="Y178" s="339"/>
      <x:c r="Z178" s="339"/>
    </x:row>
    <x:row r="179">
      <x:c r="A179" s="339"/>
      <x:c r="B179" s="339"/>
      <x:c r="C179" s="339"/>
      <x:c r="D179" s="339"/>
      <x:c r="E179" s="339"/>
      <x:c r="F179" s="339"/>
      <x:c r="G179" s="339"/>
      <x:c r="H179" s="339"/>
      <x:c r="I179" s="339"/>
      <x:c r="J179" s="339"/>
      <x:c r="K179" s="339"/>
      <x:c r="L179" s="339"/>
      <x:c r="M179" s="339"/>
      <x:c r="N179" s="339"/>
      <x:c r="O179" s="339"/>
      <x:c r="P179" s="339"/>
      <x:c r="Q179" s="339"/>
      <x:c r="R179" s="339"/>
      <x:c r="S179" s="339"/>
      <x:c r="T179" s="339"/>
      <x:c r="U179" s="1194"/>
      <x:c r="V179" s="1194"/>
      <x:c r="W179" s="1194"/>
      <x:c r="X179" s="1194"/>
      <x:c r="Y179" s="339"/>
      <x:c r="Z179" s="339"/>
    </x:row>
    <x:row r="180">
      <x:c r="A180" s="339"/>
      <x:c r="B180" s="339"/>
      <x:c r="C180" s="339"/>
      <x:c r="D180" s="339"/>
      <x:c r="E180" s="339"/>
      <x:c r="F180" s="339"/>
      <x:c r="G180" s="339"/>
      <x:c r="H180" s="339"/>
      <x:c r="I180" s="339"/>
      <x:c r="J180" s="339"/>
      <x:c r="K180" s="339"/>
      <x:c r="L180" s="339"/>
      <x:c r="M180" s="339"/>
      <x:c r="N180" s="339"/>
      <x:c r="O180" s="339"/>
      <x:c r="P180" s="339"/>
      <x:c r="Q180" s="339"/>
      <x:c r="R180" s="339"/>
      <x:c r="S180" s="339"/>
      <x:c r="T180" s="339"/>
      <x:c r="U180" s="1194"/>
      <x:c r="V180" s="1194"/>
      <x:c r="W180" s="1194"/>
      <x:c r="X180" s="1194"/>
      <x:c r="Y180" s="339"/>
      <x:c r="Z180" s="339"/>
    </x:row>
    <x:row r="181">
      <x:c r="A181" s="339"/>
      <x:c r="B181" s="339"/>
      <x:c r="C181" s="339"/>
      <x:c r="D181" s="339"/>
      <x:c r="E181" s="339"/>
      <x:c r="F181" s="339"/>
      <x:c r="G181" s="339"/>
      <x:c r="H181" s="339"/>
      <x:c r="I181" s="339"/>
      <x:c r="J181" s="339"/>
      <x:c r="K181" s="339"/>
      <x:c r="L181" s="339"/>
      <x:c r="M181" s="339"/>
      <x:c r="N181" s="339"/>
      <x:c r="O181" s="339"/>
      <x:c r="P181" s="339"/>
      <x:c r="Q181" s="339"/>
      <x:c r="R181" s="339"/>
      <x:c r="S181" s="339"/>
      <x:c r="T181" s="339"/>
      <x:c r="U181" s="1194"/>
      <x:c r="V181" s="1194"/>
      <x:c r="W181" s="1194"/>
      <x:c r="X181" s="1194"/>
      <x:c r="Y181" s="339"/>
      <x:c r="Z181" s="339"/>
    </x:row>
    <x:row r="182">
      <x:c r="A182" s="339"/>
      <x:c r="B182" s="339"/>
      <x:c r="C182" s="339"/>
      <x:c r="D182" s="339"/>
      <x:c r="E182" s="339"/>
      <x:c r="F182" s="339"/>
      <x:c r="G182" s="339"/>
      <x:c r="H182" s="339"/>
      <x:c r="I182" s="339"/>
      <x:c r="J182" s="339"/>
      <x:c r="K182" s="339"/>
      <x:c r="L182" s="339"/>
      <x:c r="M182" s="339"/>
      <x:c r="N182" s="339"/>
      <x:c r="O182" s="339"/>
      <x:c r="P182" s="339"/>
      <x:c r="Q182" s="339"/>
      <x:c r="R182" s="339"/>
      <x:c r="S182" s="339"/>
      <x:c r="T182" s="339"/>
      <x:c r="U182" s="1194"/>
      <x:c r="V182" s="1194"/>
      <x:c r="W182" s="1194"/>
      <x:c r="X182" s="1194"/>
      <x:c r="Y182" s="339"/>
      <x:c r="Z182" s="339"/>
    </x:row>
    <x:row r="183">
      <x:c r="A183" s="339"/>
      <x:c r="B183" s="339"/>
      <x:c r="C183" s="339"/>
      <x:c r="D183" s="339"/>
      <x:c r="E183" s="339"/>
      <x:c r="F183" s="339"/>
      <x:c r="G183" s="339"/>
      <x:c r="H183" s="339"/>
      <x:c r="I183" s="339"/>
      <x:c r="J183" s="339"/>
      <x:c r="K183" s="339"/>
      <x:c r="L183" s="339"/>
      <x:c r="M183" s="339"/>
      <x:c r="N183" s="339"/>
      <x:c r="O183" s="339"/>
      <x:c r="P183" s="339"/>
      <x:c r="Q183" s="339"/>
      <x:c r="R183" s="339"/>
      <x:c r="S183" s="339"/>
      <x:c r="T183" s="339"/>
      <x:c r="U183" s="1194"/>
      <x:c r="V183" s="1194"/>
      <x:c r="W183" s="1194"/>
      <x:c r="X183" s="1194"/>
      <x:c r="Y183" s="339"/>
      <x:c r="Z183" s="339"/>
    </x:row>
    <x:row r="184">
      <x:c r="A184" s="339"/>
      <x:c r="B184" s="339"/>
      <x:c r="C184" s="339"/>
      <x:c r="D184" s="339"/>
      <x:c r="E184" s="339"/>
      <x:c r="F184" s="339"/>
      <x:c r="G184" s="339"/>
      <x:c r="H184" s="339"/>
      <x:c r="I184" s="339"/>
      <x:c r="J184" s="339"/>
      <x:c r="K184" s="339"/>
      <x:c r="L184" s="339"/>
      <x:c r="M184" s="339"/>
      <x:c r="N184" s="339"/>
      <x:c r="O184" s="339"/>
      <x:c r="P184" s="339"/>
      <x:c r="Q184" s="339"/>
      <x:c r="R184" s="339"/>
      <x:c r="S184" s="339"/>
      <x:c r="T184" s="339"/>
      <x:c r="U184" s="1194"/>
      <x:c r="V184" s="1194"/>
      <x:c r="W184" s="1194"/>
      <x:c r="X184" s="1194"/>
      <x:c r="Y184" s="339"/>
      <x:c r="Z184" s="339"/>
    </x:row>
    <x:row r="185">
      <x:c r="A185" s="339"/>
      <x:c r="B185" s="339"/>
      <x:c r="C185" s="339"/>
      <x:c r="D185" s="339"/>
      <x:c r="E185" s="339"/>
      <x:c r="F185" s="339"/>
      <x:c r="G185" s="339"/>
      <x:c r="H185" s="339"/>
      <x:c r="I185" s="339"/>
      <x:c r="J185" s="339"/>
      <x:c r="K185" s="339"/>
      <x:c r="L185" s="339"/>
      <x:c r="M185" s="339"/>
      <x:c r="N185" s="339"/>
      <x:c r="O185" s="339"/>
      <x:c r="P185" s="339"/>
      <x:c r="Q185" s="339"/>
      <x:c r="R185" s="339"/>
      <x:c r="S185" s="339"/>
      <x:c r="T185" s="339"/>
      <x:c r="U185" s="1194"/>
      <x:c r="V185" s="1194"/>
      <x:c r="W185" s="1194"/>
      <x:c r="X185" s="1194"/>
      <x:c r="Y185" s="339"/>
      <x:c r="Z185" s="339"/>
    </x:row>
    <x:row r="186">
      <x:c r="A186" s="339"/>
      <x:c r="B186" s="339"/>
      <x:c r="C186" s="339"/>
      <x:c r="D186" s="339"/>
      <x:c r="E186" s="339"/>
      <x:c r="F186" s="339"/>
      <x:c r="G186" s="339"/>
      <x:c r="H186" s="339"/>
      <x:c r="I186" s="339"/>
      <x:c r="J186" s="339"/>
      <x:c r="K186" s="339"/>
      <x:c r="L186" s="339"/>
      <x:c r="M186" s="339"/>
      <x:c r="N186" s="339"/>
      <x:c r="O186" s="339"/>
      <x:c r="P186" s="339"/>
      <x:c r="Q186" s="339"/>
      <x:c r="R186" s="339"/>
      <x:c r="S186" s="339"/>
      <x:c r="T186" s="339"/>
      <x:c r="U186" s="1194"/>
      <x:c r="V186" s="1194"/>
      <x:c r="W186" s="1194"/>
      <x:c r="X186" s="1194"/>
      <x:c r="Y186" s="339"/>
      <x:c r="Z186" s="339"/>
    </x:row>
    <x:row r="187">
      <x:c r="A187" s="339"/>
      <x:c r="B187" s="339"/>
      <x:c r="C187" s="339"/>
      <x:c r="D187" s="339"/>
      <x:c r="E187" s="339"/>
      <x:c r="F187" s="339"/>
      <x:c r="G187" s="339"/>
      <x:c r="H187" s="339"/>
      <x:c r="I187" s="339"/>
      <x:c r="J187" s="339"/>
      <x:c r="K187" s="339"/>
      <x:c r="L187" s="339"/>
      <x:c r="M187" s="339"/>
      <x:c r="N187" s="339"/>
      <x:c r="O187" s="339"/>
      <x:c r="P187" s="339"/>
      <x:c r="Q187" s="339"/>
      <x:c r="R187" s="339"/>
      <x:c r="S187" s="339"/>
      <x:c r="T187" s="339"/>
      <x:c r="U187" s="1194"/>
      <x:c r="V187" s="1194"/>
      <x:c r="W187" s="1194"/>
      <x:c r="X187" s="1194"/>
      <x:c r="Y187" s="339"/>
      <x:c r="Z187" s="339"/>
    </x:row>
    <x:row r="188">
      <x:c r="A188" s="339"/>
      <x:c r="B188" s="339"/>
      <x:c r="C188" s="339"/>
      <x:c r="D188" s="339"/>
      <x:c r="E188" s="339"/>
      <x:c r="F188" s="339"/>
      <x:c r="G188" s="339"/>
      <x:c r="H188" s="339"/>
      <x:c r="I188" s="339"/>
      <x:c r="J188" s="339"/>
      <x:c r="K188" s="339"/>
      <x:c r="L188" s="339"/>
      <x:c r="M188" s="339"/>
      <x:c r="N188" s="339"/>
      <x:c r="O188" s="339"/>
      <x:c r="P188" s="339"/>
      <x:c r="Q188" s="339"/>
      <x:c r="R188" s="339"/>
      <x:c r="S188" s="339"/>
      <x:c r="T188" s="339"/>
      <x:c r="U188" s="1194"/>
      <x:c r="V188" s="1194"/>
      <x:c r="W188" s="1194"/>
      <x:c r="X188" s="1194"/>
      <x:c r="Y188" s="339"/>
      <x:c r="Z188" s="339"/>
    </x:row>
    <x:row r="189">
      <x:c r="A189" s="339"/>
      <x:c r="B189" s="339"/>
      <x:c r="C189" s="339"/>
      <x:c r="D189" s="339"/>
      <x:c r="E189" s="339"/>
      <x:c r="F189" s="339"/>
      <x:c r="G189" s="339"/>
      <x:c r="H189" s="339"/>
      <x:c r="I189" s="339"/>
      <x:c r="J189" s="339"/>
      <x:c r="K189" s="339"/>
      <x:c r="L189" s="339"/>
      <x:c r="M189" s="339"/>
      <x:c r="N189" s="339"/>
      <x:c r="O189" s="339"/>
      <x:c r="P189" s="339"/>
      <x:c r="Q189" s="339"/>
      <x:c r="R189" s="339"/>
      <x:c r="S189" s="339"/>
      <x:c r="T189" s="339"/>
      <x:c r="U189" s="1194"/>
      <x:c r="V189" s="1194"/>
      <x:c r="W189" s="1194"/>
      <x:c r="X189" s="1194"/>
      <x:c r="Y189" s="339"/>
      <x:c r="Z189" s="339"/>
    </x:row>
    <x:row r="190">
      <x:c r="A190" s="339"/>
      <x:c r="B190" s="339"/>
      <x:c r="C190" s="339"/>
      <x:c r="D190" s="339"/>
      <x:c r="E190" s="339"/>
      <x:c r="F190" s="339"/>
      <x:c r="G190" s="339"/>
      <x:c r="H190" s="339"/>
      <x:c r="I190" s="339"/>
      <x:c r="J190" s="339"/>
      <x:c r="K190" s="339"/>
      <x:c r="L190" s="339"/>
      <x:c r="M190" s="339"/>
      <x:c r="N190" s="339"/>
      <x:c r="O190" s="339"/>
      <x:c r="P190" s="339"/>
      <x:c r="Q190" s="339"/>
      <x:c r="R190" s="339"/>
      <x:c r="S190" s="339"/>
      <x:c r="T190" s="339"/>
      <x:c r="U190" s="1194"/>
      <x:c r="V190" s="1194"/>
      <x:c r="W190" s="1194"/>
      <x:c r="X190" s="1194"/>
      <x:c r="Y190" s="339"/>
      <x:c r="Z190" s="339"/>
    </x:row>
    <x:row r="191">
      <x:c r="A191" s="339"/>
      <x:c r="B191" s="339"/>
      <x:c r="C191" s="339"/>
      <x:c r="D191" s="339"/>
      <x:c r="E191" s="339"/>
      <x:c r="F191" s="339"/>
      <x:c r="G191" s="339"/>
      <x:c r="H191" s="339"/>
      <x:c r="I191" s="339"/>
      <x:c r="J191" s="339"/>
      <x:c r="K191" s="339"/>
      <x:c r="L191" s="339"/>
      <x:c r="M191" s="339"/>
      <x:c r="N191" s="339"/>
      <x:c r="O191" s="339"/>
      <x:c r="P191" s="339"/>
      <x:c r="Q191" s="339"/>
      <x:c r="R191" s="339"/>
      <x:c r="S191" s="339"/>
      <x:c r="T191" s="339"/>
      <x:c r="U191" s="1194"/>
      <x:c r="V191" s="1194"/>
      <x:c r="W191" s="1194"/>
      <x:c r="X191" s="1194"/>
      <x:c r="Y191" s="339"/>
      <x:c r="Z191" s="339"/>
    </x:row>
    <x:row r="192">
      <x:c r="A192" s="339"/>
      <x:c r="B192" s="339"/>
      <x:c r="C192" s="339"/>
      <x:c r="D192" s="339"/>
      <x:c r="E192" s="339"/>
      <x:c r="F192" s="339"/>
      <x:c r="G192" s="339"/>
      <x:c r="H192" s="339"/>
      <x:c r="I192" s="339"/>
      <x:c r="J192" s="339"/>
      <x:c r="K192" s="339"/>
      <x:c r="L192" s="339"/>
      <x:c r="M192" s="339"/>
      <x:c r="N192" s="339"/>
      <x:c r="O192" s="339"/>
      <x:c r="P192" s="339"/>
      <x:c r="Q192" s="339"/>
      <x:c r="R192" s="339"/>
      <x:c r="S192" s="339"/>
      <x:c r="T192" s="339"/>
      <x:c r="U192" s="1194"/>
      <x:c r="V192" s="1194"/>
      <x:c r="W192" s="1194"/>
      <x:c r="X192" s="1194"/>
      <x:c r="Y192" s="339"/>
      <x:c r="Z192" s="339"/>
    </x:row>
    <x:row r="193">
      <x:c r="A193" s="339"/>
      <x:c r="B193" s="339"/>
      <x:c r="C193" s="339"/>
      <x:c r="D193" s="339"/>
      <x:c r="E193" s="339"/>
      <x:c r="F193" s="339"/>
      <x:c r="G193" s="339"/>
      <x:c r="H193" s="339"/>
      <x:c r="I193" s="339"/>
      <x:c r="J193" s="339"/>
      <x:c r="K193" s="339"/>
      <x:c r="L193" s="339"/>
      <x:c r="M193" s="339"/>
      <x:c r="N193" s="339"/>
      <x:c r="O193" s="339"/>
      <x:c r="P193" s="339"/>
      <x:c r="Q193" s="339"/>
      <x:c r="R193" s="339"/>
      <x:c r="S193" s="339"/>
      <x:c r="T193" s="339"/>
      <x:c r="U193" s="1194"/>
      <x:c r="V193" s="1194"/>
      <x:c r="W193" s="1194"/>
      <x:c r="X193" s="1194"/>
      <x:c r="Y193" s="339"/>
      <x:c r="Z193" s="339"/>
    </x:row>
    <x:row r="194">
      <x:c r="A194" s="339"/>
      <x:c r="B194" s="339"/>
      <x:c r="C194" s="339"/>
      <x:c r="D194" s="339"/>
      <x:c r="E194" s="339"/>
      <x:c r="F194" s="339"/>
      <x:c r="G194" s="339"/>
      <x:c r="H194" s="339"/>
      <x:c r="I194" s="339"/>
      <x:c r="J194" s="339"/>
      <x:c r="K194" s="339"/>
      <x:c r="L194" s="339"/>
      <x:c r="M194" s="339"/>
      <x:c r="N194" s="339"/>
      <x:c r="O194" s="339"/>
      <x:c r="P194" s="339"/>
      <x:c r="Q194" s="339"/>
      <x:c r="R194" s="339"/>
      <x:c r="S194" s="339"/>
      <x:c r="T194" s="339"/>
      <x:c r="U194" s="1194"/>
      <x:c r="V194" s="1194"/>
      <x:c r="W194" s="1194"/>
      <x:c r="X194" s="1194"/>
      <x:c r="Y194" s="339"/>
      <x:c r="Z194" s="339"/>
    </x:row>
    <x:row r="195">
      <x:c r="A195" s="339"/>
      <x:c r="B195" s="339"/>
      <x:c r="C195" s="339"/>
      <x:c r="D195" s="339"/>
      <x:c r="E195" s="339"/>
      <x:c r="F195" s="339"/>
      <x:c r="G195" s="339"/>
      <x:c r="H195" s="339"/>
      <x:c r="I195" s="339"/>
      <x:c r="J195" s="339"/>
      <x:c r="K195" s="339"/>
      <x:c r="L195" s="339"/>
      <x:c r="M195" s="339"/>
      <x:c r="N195" s="339"/>
      <x:c r="O195" s="339"/>
      <x:c r="P195" s="339"/>
      <x:c r="Q195" s="339"/>
      <x:c r="R195" s="339"/>
      <x:c r="S195" s="339"/>
      <x:c r="T195" s="339"/>
      <x:c r="U195" s="1194"/>
      <x:c r="V195" s="1194"/>
      <x:c r="W195" s="1194"/>
      <x:c r="X195" s="1194"/>
      <x:c r="Y195" s="339"/>
      <x:c r="Z195" s="339"/>
    </x:row>
    <x:row r="196">
      <x:c r="A196" s="339"/>
      <x:c r="B196" s="339"/>
      <x:c r="C196" s="339"/>
      <x:c r="D196" s="339"/>
      <x:c r="E196" s="339"/>
      <x:c r="F196" s="339"/>
      <x:c r="G196" s="339"/>
      <x:c r="H196" s="339"/>
      <x:c r="I196" s="339"/>
      <x:c r="J196" s="339"/>
      <x:c r="K196" s="339"/>
      <x:c r="L196" s="339"/>
      <x:c r="M196" s="339"/>
      <x:c r="N196" s="339"/>
      <x:c r="O196" s="339"/>
      <x:c r="P196" s="339"/>
      <x:c r="Q196" s="339"/>
      <x:c r="R196" s="339"/>
      <x:c r="S196" s="339"/>
      <x:c r="T196" s="339"/>
      <x:c r="U196" s="1194"/>
      <x:c r="V196" s="1194"/>
      <x:c r="W196" s="1194"/>
      <x:c r="X196" s="1194"/>
      <x:c r="Y196" s="339"/>
      <x:c r="Z196" s="339"/>
    </x:row>
    <x:row r="197">
      <x:c r="A197" s="339"/>
      <x:c r="B197" s="339"/>
      <x:c r="C197" s="339"/>
      <x:c r="D197" s="339"/>
      <x:c r="E197" s="339"/>
      <x:c r="F197" s="339"/>
      <x:c r="G197" s="339"/>
      <x:c r="H197" s="339"/>
      <x:c r="I197" s="339"/>
      <x:c r="J197" s="339"/>
      <x:c r="K197" s="339"/>
      <x:c r="L197" s="339"/>
      <x:c r="M197" s="339"/>
      <x:c r="N197" s="339"/>
      <x:c r="O197" s="339"/>
      <x:c r="P197" s="339"/>
      <x:c r="Q197" s="339"/>
      <x:c r="R197" s="339"/>
      <x:c r="S197" s="339"/>
      <x:c r="T197" s="339"/>
      <x:c r="U197" s="1194"/>
      <x:c r="V197" s="1194"/>
      <x:c r="W197" s="1194"/>
      <x:c r="X197" s="1194"/>
      <x:c r="Y197" s="339"/>
      <x:c r="Z197" s="339"/>
    </x:row>
    <x:row r="198">
      <x:c r="A198" s="339"/>
      <x:c r="B198" s="339"/>
      <x:c r="C198" s="339"/>
      <x:c r="D198" s="339"/>
      <x:c r="E198" s="339"/>
      <x:c r="F198" s="339"/>
      <x:c r="G198" s="339"/>
      <x:c r="H198" s="339"/>
      <x:c r="I198" s="339"/>
      <x:c r="J198" s="339"/>
      <x:c r="K198" s="339"/>
      <x:c r="L198" s="339"/>
      <x:c r="M198" s="339"/>
      <x:c r="N198" s="339"/>
      <x:c r="O198" s="339"/>
      <x:c r="P198" s="339"/>
      <x:c r="Q198" s="339"/>
      <x:c r="R198" s="339"/>
      <x:c r="S198" s="339"/>
      <x:c r="T198" s="339"/>
      <x:c r="U198" s="1194"/>
      <x:c r="V198" s="1194"/>
      <x:c r="W198" s="1194"/>
      <x:c r="X198" s="1194"/>
      <x:c r="Y198" s="339"/>
      <x:c r="Z198" s="339"/>
    </x:row>
    <x:row r="199">
      <x:c r="A199" s="339"/>
      <x:c r="B199" s="339"/>
      <x:c r="C199" s="339"/>
      <x:c r="D199" s="339"/>
      <x:c r="E199" s="339"/>
      <x:c r="F199" s="339"/>
      <x:c r="G199" s="339"/>
      <x:c r="H199" s="339"/>
      <x:c r="I199" s="339"/>
      <x:c r="J199" s="339"/>
      <x:c r="K199" s="339"/>
      <x:c r="L199" s="339"/>
      <x:c r="M199" s="339"/>
      <x:c r="N199" s="339"/>
      <x:c r="O199" s="339"/>
      <x:c r="P199" s="339"/>
      <x:c r="Q199" s="339"/>
      <x:c r="R199" s="339"/>
      <x:c r="S199" s="339"/>
      <x:c r="T199" s="339"/>
      <x:c r="U199" s="1194"/>
      <x:c r="V199" s="1194"/>
      <x:c r="W199" s="1194"/>
      <x:c r="X199" s="1194"/>
      <x:c r="Y199" s="339"/>
      <x:c r="Z199" s="339"/>
    </x:row>
    <x:row r="200">
      <x:c r="A200" s="339"/>
      <x:c r="B200" s="339"/>
      <x:c r="C200" s="339"/>
      <x:c r="D200" s="339"/>
      <x:c r="E200" s="339"/>
      <x:c r="F200" s="339"/>
      <x:c r="G200" s="339"/>
      <x:c r="H200" s="339"/>
      <x:c r="I200" s="339"/>
      <x:c r="J200" s="339"/>
      <x:c r="K200" s="339"/>
      <x:c r="L200" s="339"/>
      <x:c r="M200" s="339"/>
      <x:c r="N200" s="339"/>
      <x:c r="O200" s="339"/>
      <x:c r="P200" s="339"/>
      <x:c r="Q200" s="339"/>
      <x:c r="R200" s="339"/>
      <x:c r="S200" s="339"/>
      <x:c r="T200" s="339"/>
      <x:c r="U200" s="1194"/>
      <x:c r="V200" s="1194"/>
      <x:c r="W200" s="1194"/>
      <x:c r="X200" s="1194"/>
      <x:c r="Y200" s="339"/>
      <x:c r="Z200" s="339"/>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G1"/>
    <x:mergeCell ref="A2:G2"/>
    <x:mergeCell ref="U1:X1"/>
    <x:mergeCell ref="V2:X2"/>
    <x:mergeCell ref="V3:X3"/>
    <x:mergeCell ref="V4:X4"/>
    <x:mergeCell ref="V5:X5"/>
    <x:mergeCell ref="V6:X6"/>
    <x:mergeCell ref="V7:X7"/>
  </x:mergeCells>
  <x:pageMargins left="0.7" right="0.7" top="0.75" bottom="0.75" header="0.3" footer="0.3"/>
</x:worksheet>
</file>

<file path=xl/worksheets/sheet19.xml><?xml version="1.0" encoding="utf-8"?>
<x:worksheet xmlns:x="http://schemas.openxmlformats.org/spreadsheetml/2006/main">
  <x:sheetFormatPr defaultRowHeight="15"/>
  <x:cols>
    <x:col min="1" max="1" width="45" hidden="0" customWidth="1"/>
    <x:col min="2" max="2" width="18" hidden="0" customWidth="1"/>
    <x:col min="3" max="3" width="18" hidden="0" customWidth="1"/>
    <x:col min="4" max="4" width="18" hidden="0" customWidth="1"/>
    <x:col min="5" max="5" width="20" hidden="0" customWidth="1"/>
    <x:col min="6" max="6" width="20" hidden="0" customWidth="1"/>
    <x:col min="7" max="7" width="16" hidden="0" customWidth="1"/>
    <x:col min="8" max="8" width="16" hidden="0" customWidth="1"/>
    <x:col min="9" max="9" width="16" hidden="0" customWidth="1"/>
    <x:col min="10" max="10" width="16" hidden="0" customWidth="1"/>
    <x:col min="11" max="11" width="18" hidden="0" customWidth="1"/>
    <x:col min="12" max="12" width="18" hidden="0" customWidth="1"/>
    <x:col min="13" max="13" width="18" hidden="0" customWidth="1"/>
    <x:col min="21" max="21" width="20" hidden="0" customWidth="1"/>
    <x:col min="22" max="22" width="24" hidden="0" customWidth="1"/>
    <x:col min="23" max="23" width="24" hidden="0" customWidth="1"/>
    <x:col min="24" max="24" width="24" hidden="0" customWidth="1"/>
  </x:cols>
  <x:sheetData>
    <x:row r="1" ht="30" customHeight="1">
      <x:c r="A1" s="582" t="str">
        <x:v>He Ara Angitū Learning Capital Account — Student, Crown and Social ROI</x:v>
      </x:c>
      <x:c r="B1" s="582"/>
      <x:c r="C1" s="582"/>
      <x:c r="D1" s="582"/>
      <x:c r="E1" s="582"/>
      <x:c r="F1" s="582"/>
      <x:c r="G1" s="582"/>
      <x:c r="H1" s="582"/>
      <x:c r="I1" s="582"/>
      <x:c r="J1" s="582"/>
      <x:c r="K1" s="582"/>
      <x:c r="L1" s="582"/>
      <x:c r="M1" s="582"/>
      <x:c r="U1" s="1196"/>
      <x:c r="V1" s="1196"/>
      <x:c r="W1" s="1196"/>
      <x:c r="X1" s="1196"/>
    </x:row>
    <x:row r="2" ht="28" customHeight="1">
      <x:c r="A2" s="537" t="str">
        <x:v>The account converts half of verified participation payments into protected education capital. The payment split does not reduce programme expenditure.</x:v>
      </x:c>
      <x:c r="B2" s="537" t="str">
        <x:v>The account converts half of verified participation payments into protected education capital. The payment split does not reduce programme expenditure.</x:v>
      </x:c>
      <x:c r="C2" s="537" t="str">
        <x:v>The account converts half of verified participation payments into protected education capital. The payment split does not reduce programme expenditure.</x:v>
      </x:c>
      <x:c r="D2" s="537" t="str">
        <x:v>The account converts half of verified participation payments into protected education capital. The payment split does not reduce programme expenditure.</x:v>
      </x:c>
      <x:c r="E2" s="537" t="str">
        <x:v>The account converts half of verified participation payments into protected education capital. The payment split does not reduce programme expenditure.</x:v>
      </x:c>
      <x:c r="F2" s="537" t="str">
        <x:v>The account converts half of verified participation payments into protected education capital. The payment split does not reduce programme expenditure.</x:v>
      </x:c>
      <x:c r="G2" s="537" t="str">
        <x:v>The account converts half of verified participation payments into protected education capital. The payment split does not reduce programme expenditure.</x:v>
      </x:c>
      <x:c r="H2" s="537" t="str">
        <x:v>The account converts half of verified participation payments into protected education capital. The payment split does not reduce programme expenditure.</x:v>
      </x:c>
      <x:c r="I2" s="537" t="str">
        <x:v>The account converts half of verified participation payments into protected education capital. The payment split does not reduce programme expenditure.</x:v>
      </x:c>
      <x:c r="J2" s="537" t="str">
        <x:v>The account converts half of verified participation payments into protected education capital. The payment split does not reduce programme expenditure.</x:v>
      </x:c>
      <x:c r="K2" s="537" t="str">
        <x:v>The account converts half of verified participation payments into protected education capital. The payment split does not reduce programme expenditure.</x:v>
      </x:c>
      <x:c r="L2" s="537" t="str">
        <x:v>The account converts half of verified participation payments into protected education capital. The payment split does not reduce programme expenditure.</x:v>
      </x:c>
      <x:c r="M2" s="537" t="str">
        <x:v>The account converts half of verified participation payments into protected education capital. The payment split does not reduce programme expenditure.</x:v>
      </x:c>
      <x:c r="U2" s="1201"/>
      <x:c r="V2" s="1201"/>
      <x:c r="W2" s="1201"/>
      <x:c r="X2" s="1201"/>
    </x:row>
    <x:row r="3">
      <x:c r="A3" s="26"/>
      <x:c r="B3" s="26"/>
      <x:c r="C3" s="26"/>
      <x:c r="D3" s="26"/>
      <x:c r="E3" s="26"/>
      <x:c r="F3" s="26"/>
      <x:c r="G3" s="26"/>
      <x:c r="H3" s="26"/>
      <x:c r="I3" s="26"/>
      <x:c r="J3" s="26"/>
      <x:c r="K3" s="26"/>
      <x:c r="L3" s="26"/>
      <x:c r="M3" s="26"/>
      <x:c r="U3" s="1201"/>
      <x:c r="V3" s="1201"/>
      <x:c r="W3" s="1201"/>
      <x:c r="X3" s="1201"/>
    </x:row>
    <x:row r="4" ht="28" customHeight="1">
      <x:c r="A4" s="527" t="str">
        <x:v>Per-participant scenario</x:v>
      </x:c>
      <x:c r="B4" s="527" t="str">
        <x:v>Low participant</x:v>
      </x:c>
      <x:c r="C4" s="527" t="str">
        <x:v>Central average participant</x:v>
      </x:c>
      <x:c r="D4" s="527" t="str">
        <x:v>High participant</x:v>
      </x:c>
      <x:c r="E4" s="527" t="str">
        <x:v>Full-earner illustration</x:v>
      </x:c>
      <x:c r="F4" s="26"/>
      <x:c r="G4" s="26"/>
      <x:c r="H4" s="26"/>
      <x:c r="I4" s="26"/>
      <x:c r="J4" s="26"/>
      <x:c r="K4" s="26"/>
      <x:c r="L4" s="26"/>
      <x:c r="M4" s="26"/>
      <x:c r="U4" s="1201"/>
      <x:c r="V4" s="1201"/>
      <x:c r="W4" s="1201"/>
      <x:c r="X4" s="1201"/>
    </x:row>
    <x:row r="5">
      <x:c r="A5" s="166" t="str">
        <x:v>Maximum weekly payment</x:v>
      </x:c>
      <x:c r="B5" s="167" t="n">
        <x:f>Assumptions!$D$36</x:f>
        <x:v>125</x:v>
      </x:c>
      <x:c r="C5" s="167" t="n">
        <x:f>Assumptions!$E$36</x:f>
        <x:v>150</x:v>
      </x:c>
      <x:c r="D5" s="167" t="n">
        <x:f>Assumptions!$F$36</x:f>
        <x:v>150</x:v>
      </x:c>
      <x:c r="E5" s="198" t="n">
        <x:v>150</x:v>
      </x:c>
      <x:c r="F5" s="583" t="str">
        <x:v>NZD/week</x:v>
      </x:c>
      <x:c r="G5" s="26"/>
      <x:c r="H5" s="26"/>
      <x:c r="I5" s="26"/>
      <x:c r="J5" s="26"/>
      <x:c r="K5" s="26"/>
      <x:c r="L5" s="26"/>
      <x:c r="M5" s="26"/>
      <x:c r="U5" s="1201"/>
      <x:c r="V5" s="1201"/>
      <x:c r="W5" s="1201"/>
      <x:c r="X5" s="1201"/>
    </x:row>
    <x:row r="6">
      <x:c r="A6" s="166" t="str">
        <x:v>Eligible payment weeks</x:v>
      </x:c>
      <x:c r="B6" s="167" t="n">
        <x:f>Assumptions!$D$35</x:f>
        <x:v>38</x:v>
      </x:c>
      <x:c r="C6" s="167" t="n">
        <x:f>Assumptions!$E$35</x:f>
        <x:v>40</x:v>
      </x:c>
      <x:c r="D6" s="167" t="n">
        <x:f>Assumptions!$F$35</x:f>
        <x:v>42</x:v>
      </x:c>
      <x:c r="E6" s="198" t="n">
        <x:v>40</x:v>
      </x:c>
      <x:c r="F6" s="583" t="str">
        <x:v>weeks/year</x:v>
      </x:c>
      <x:c r="G6" s="26"/>
      <x:c r="H6" s="26"/>
      <x:c r="I6" s="26"/>
      <x:c r="J6" s="26"/>
      <x:c r="K6" s="26"/>
      <x:c r="L6" s="26"/>
      <x:c r="M6" s="26"/>
      <x:c r="U6" s="1201"/>
      <x:c r="V6" s="1201"/>
      <x:c r="W6" s="1201"/>
      <x:c r="X6" s="1201"/>
    </x:row>
    <x:row r="7">
      <x:c r="A7" s="166" t="str">
        <x:v>Average earned proportion</x:v>
      </x:c>
      <x:c r="B7" s="276" t="n">
        <x:f>Assumptions!$D$37</x:f>
        <x:v>0.5</x:v>
      </x:c>
      <x:c r="C7" s="276" t="n">
        <x:f>Assumptions!$E$37</x:f>
        <x:v>0.65</x:v>
      </x:c>
      <x:c r="D7" s="276" t="n">
        <x:f>Assumptions!$F$37</x:f>
        <x:v>0.8</x:v>
      </x:c>
      <x:c r="E7" s="199" t="n">
        <x:v>1</x:v>
      </x:c>
      <x:c r="F7" s="583" t="str">
        <x:v>%</x:v>
      </x:c>
      <x:c r="G7" s="26"/>
      <x:c r="H7" s="26"/>
      <x:c r="I7" s="26"/>
      <x:c r="J7" s="26"/>
      <x:c r="K7" s="26"/>
      <x:c r="L7" s="26"/>
      <x:c r="M7" s="26"/>
      <x:c r="U7" s="1201"/>
      <x:c r="V7" s="1201"/>
      <x:c r="W7" s="1201"/>
      <x:c r="X7" s="1201"/>
    </x:row>
    <x:row r="8">
      <x:c r="A8" s="166" t="str">
        <x:v>Annual participation payment</x:v>
      </x:c>
      <x:c r="B8" s="167" t="n">
        <x:f>B5*B6*B7</x:f>
        <x:v>2375</x:v>
      </x:c>
      <x:c r="C8" s="167" t="n">
        <x:f>C5*C6*C7</x:f>
        <x:v>3900</x:v>
      </x:c>
      <x:c r="D8" s="167" t="n">
        <x:f>D5*D6*D7</x:f>
        <x:v>5040</x:v>
      </x:c>
      <x:c r="E8" s="225" t="n">
        <x:f>E5*E6*E7</x:f>
        <x:v>6000</x:v>
      </x:c>
      <x:c r="F8" s="583" t="str">
        <x:v>NZD/year</x:v>
      </x:c>
      <x:c r="G8" s="26"/>
      <x:c r="H8" s="26"/>
      <x:c r="I8" s="26"/>
      <x:c r="J8" s="26"/>
      <x:c r="K8" s="26"/>
      <x:c r="L8" s="26"/>
      <x:c r="M8" s="26"/>
      <x:c r="U8" s="1196"/>
      <x:c r="V8" s="1196"/>
      <x:c r="W8" s="1196"/>
      <x:c r="X8" s="1196"/>
    </x:row>
    <x:row r="9">
      <x:c r="A9" s="166" t="str">
        <x:v>Immediate-access share</x:v>
      </x:c>
      <x:c r="B9" s="276" t="n">
        <x:f>1-Assumptions!$D$55</x:f>
        <x:v>0.5</x:v>
      </x:c>
      <x:c r="C9" s="276" t="n">
        <x:f>1-Assumptions!$E$55</x:f>
        <x:v>0.5</x:v>
      </x:c>
      <x:c r="D9" s="276" t="n">
        <x:f>1-Assumptions!$F$55</x:f>
        <x:v>0.5</x:v>
      </x:c>
      <x:c r="E9" s="584" t="n">
        <x:v>0.5</x:v>
      </x:c>
      <x:c r="F9" s="583" t="str">
        <x:v>%</x:v>
      </x:c>
      <x:c r="G9" s="26"/>
      <x:c r="H9" s="26"/>
      <x:c r="I9" s="26"/>
      <x:c r="J9" s="26"/>
      <x:c r="K9" s="26"/>
      <x:c r="L9" s="26"/>
      <x:c r="M9" s="26"/>
      <x:c r="U9" s="1196"/>
      <x:c r="V9" s="1196"/>
      <x:c r="W9" s="1196"/>
      <x:c r="X9" s="1196"/>
    </x:row>
    <x:row r="10">
      <x:c r="A10" s="166" t="str">
        <x:v>Learning Capital Account share</x:v>
      </x:c>
      <x:c r="B10" s="276" t="n">
        <x:f>Assumptions!$D$55</x:f>
        <x:v>0.5</x:v>
      </x:c>
      <x:c r="C10" s="276" t="n">
        <x:f>Assumptions!$E$55</x:f>
        <x:v>0.5</x:v>
      </x:c>
      <x:c r="D10" s="276" t="n">
        <x:f>Assumptions!$F$55</x:f>
        <x:v>0.5</x:v>
      </x:c>
      <x:c r="E10" s="584" t="n">
        <x:v>0.5</x:v>
      </x:c>
      <x:c r="F10" s="583" t="str">
        <x:v>%</x:v>
      </x:c>
      <x:c r="G10" s="26"/>
      <x:c r="H10" s="26"/>
      <x:c r="I10" s="26"/>
      <x:c r="J10" s="26"/>
      <x:c r="K10" s="26"/>
      <x:c r="L10" s="26"/>
      <x:c r="M10" s="26"/>
      <x:c r="U10" s="1196"/>
      <x:c r="V10" s="1196"/>
      <x:c r="W10" s="1196"/>
      <x:c r="X10" s="1196"/>
    </x:row>
    <x:row r="11">
      <x:c r="A11" s="166" t="str">
        <x:v>Annual immediate-access payment</x:v>
      </x:c>
      <x:c r="B11" s="167" t="n">
        <x:f>B8*B9</x:f>
        <x:v>1187.5</x:v>
      </x:c>
      <x:c r="C11" s="167" t="n">
        <x:f>C8*C9</x:f>
        <x:v>1950</x:v>
      </x:c>
      <x:c r="D11" s="167" t="n">
        <x:f>D8*D9</x:f>
        <x:v>2520</x:v>
      </x:c>
      <x:c r="E11" s="225" t="n">
        <x:f>E8*E9</x:f>
        <x:v>3000</x:v>
      </x:c>
      <x:c r="F11" s="583" t="str">
        <x:v>NZD/year</x:v>
      </x:c>
      <x:c r="G11" s="26"/>
      <x:c r="H11" s="26"/>
      <x:c r="I11" s="26"/>
      <x:c r="J11" s="26"/>
      <x:c r="K11" s="26"/>
      <x:c r="L11" s="26"/>
      <x:c r="M11" s="26"/>
      <x:c r="U11" s="1196"/>
      <x:c r="V11" s="1196"/>
      <x:c r="W11" s="1196"/>
      <x:c r="X11" s="1196"/>
    </x:row>
    <x:row r="12">
      <x:c r="A12" s="166" t="str">
        <x:v>Annual Learning Capital contribution</x:v>
      </x:c>
      <x:c r="B12" s="167" t="n">
        <x:f>B8*B10</x:f>
        <x:v>1187.5</x:v>
      </x:c>
      <x:c r="C12" s="167" t="n">
        <x:f>C8*C10</x:f>
        <x:v>1950</x:v>
      </x:c>
      <x:c r="D12" s="167" t="n">
        <x:f>D8*D10</x:f>
        <x:v>2520</x:v>
      </x:c>
      <x:c r="E12" s="225" t="n">
        <x:f>E8*E10</x:f>
        <x:v>3000</x:v>
      </x:c>
      <x:c r="F12" s="583" t="str">
        <x:v>NZD/year</x:v>
      </x:c>
      <x:c r="G12" s="26"/>
      <x:c r="H12" s="26"/>
      <x:c r="I12" s="26"/>
      <x:c r="J12" s="26"/>
      <x:c r="K12" s="26"/>
      <x:c r="L12" s="26"/>
      <x:c r="M12" s="26"/>
      <x:c r="U12" s="1196"/>
      <x:c r="V12" s="1196"/>
      <x:c r="W12" s="1196"/>
      <x:c r="X12" s="1196"/>
    </x:row>
    <x:row r="13">
      <x:c r="A13" s="166" t="str">
        <x:v>Contribution years</x:v>
      </x:c>
      <x:c r="B13" s="167" t="n">
        <x:f>Assumptions!$D$56</x:f>
        <x:v>5</x:v>
      </x:c>
      <x:c r="C13" s="167" t="n">
        <x:f>Assumptions!$E$56</x:f>
        <x:v>5</x:v>
      </x:c>
      <x:c r="D13" s="167" t="n">
        <x:f>Assumptions!$F$56</x:f>
        <x:v>5</x:v>
      </x:c>
      <x:c r="E13" s="225" t="n">
        <x:v>5</x:v>
      </x:c>
      <x:c r="F13" s="583" t="str">
        <x:v>years</x:v>
      </x:c>
      <x:c r="G13" s="26"/>
      <x:c r="H13" s="26"/>
      <x:c r="I13" s="26"/>
      <x:c r="J13" s="26"/>
      <x:c r="K13" s="26"/>
      <x:c r="L13" s="26"/>
      <x:c r="M13" s="26"/>
      <x:c r="U13" s="1196"/>
      <x:c r="V13" s="1196"/>
      <x:c r="W13" s="1196"/>
      <x:c r="X13" s="1196"/>
    </x:row>
    <x:row r="14">
      <x:c r="A14" s="166" t="str">
        <x:v>Nominal five-year Learning Capital contributions</x:v>
      </x:c>
      <x:c r="B14" s="167" t="n">
        <x:f>B12*B13</x:f>
        <x:v>5937.5</x:v>
      </x:c>
      <x:c r="C14" s="167" t="n">
        <x:f>C12*C13</x:f>
        <x:v>9750</x:v>
      </x:c>
      <x:c r="D14" s="167" t="n">
        <x:f>D12*D13</x:f>
        <x:v>12600</x:v>
      </x:c>
      <x:c r="E14" s="225" t="n">
        <x:f>E12*E13</x:f>
        <x:v>15000</x:v>
      </x:c>
      <x:c r="F14" s="583" t="str">
        <x:v>NZD</x:v>
      </x:c>
      <x:c r="G14" s="26"/>
      <x:c r="H14" s="26"/>
      <x:c r="I14" s="26"/>
      <x:c r="J14" s="26"/>
      <x:c r="K14" s="26"/>
      <x:c r="L14" s="26"/>
      <x:c r="M14" s="26"/>
      <x:c r="U14" s="1196"/>
      <x:c r="V14" s="1196"/>
      <x:c r="W14" s="1196"/>
      <x:c r="X14" s="1196"/>
    </x:row>
    <x:row r="15">
      <x:c r="A15" s="166" t="str">
        <x:v>Starting gross nominal investment return</x:v>
      </x:c>
      <x:c r="B15" s="585" t="n">
        <x:f>Assumptions!$D$57</x:f>
        <x:v>0.027</x:v>
      </x:c>
      <x:c r="C15" s="585" t="n">
        <x:f>Assumptions!$E$57</x:f>
        <x:v>0.0525</x:v>
      </x:c>
      <x:c r="D15" s="585" t="n">
        <x:f>Assumptions!$F$57</x:f>
        <x:v>0.079</x:v>
      </x:c>
      <x:c r="E15" s="586" t="n">
        <x:v>0.0525</x:v>
      </x:c>
      <x:c r="F15" s="583" t="str">
        <x:v>%</x:v>
      </x:c>
      <x:c r="G15" s="26"/>
      <x:c r="H15" s="26"/>
      <x:c r="I15" s="26"/>
      <x:c r="J15" s="26"/>
      <x:c r="K15" s="26"/>
      <x:c r="L15" s="26"/>
      <x:c r="M15" s="26"/>
      <x:c r="U15" s="1196"/>
      <x:c r="V15" s="1196"/>
      <x:c r="W15" s="1196"/>
      <x:c r="X15" s="1196"/>
    </x:row>
    <x:row r="16">
      <x:c r="A16" s="166" t="str">
        <x:v>Investment management and custody fee</x:v>
      </x:c>
      <x:c r="B16" s="585" t="n">
        <x:f>Assumptions!$D$58</x:f>
        <x:v>0.004</x:v>
      </x:c>
      <x:c r="C16" s="585" t="n">
        <x:f>Assumptions!$E$58</x:f>
        <x:v>0.005</x:v>
      </x:c>
      <x:c r="D16" s="585" t="n">
        <x:f>Assumptions!$F$58</x:f>
        <x:v>0.007</x:v>
      </x:c>
      <x:c r="E16" s="586" t="n">
        <x:v>0.005</x:v>
      </x:c>
      <x:c r="F16" s="583" t="str">
        <x:v>% of AUM</x:v>
      </x:c>
      <x:c r="G16" s="26"/>
      <x:c r="H16" s="26"/>
      <x:c r="I16" s="26"/>
      <x:c r="J16" s="26"/>
      <x:c r="K16" s="26"/>
      <x:c r="L16" s="26"/>
      <x:c r="M16" s="26"/>
      <x:c r="U16" s="1196"/>
      <x:c r="V16" s="1196"/>
      <x:c r="W16" s="1196"/>
      <x:c r="X16" s="1196"/>
    </x:row>
    <x:row r="17">
      <x:c r="A17" s="166" t="str">
        <x:v>Effective investment tax drag</x:v>
      </x:c>
      <x:c r="B17" s="585" t="n">
        <x:f>Assumptions!$D$59</x:f>
        <x:v>0.003</x:v>
      </x:c>
      <x:c r="C17" s="585" t="n">
        <x:f>Assumptions!$E$59</x:f>
        <x:v>0.0075</x:v>
      </x:c>
      <x:c r="D17" s="585" t="n">
        <x:f>Assumptions!$F$59</x:f>
        <x:v>0.012</x:v>
      </x:c>
      <x:c r="E17" s="586" t="n">
        <x:v>0.0075</x:v>
      </x:c>
      <x:c r="F17" s="583" t="str">
        <x:v>% of AUM</x:v>
      </x:c>
      <x:c r="G17" s="26"/>
      <x:c r="H17" s="26"/>
      <x:c r="I17" s="26"/>
      <x:c r="J17" s="26"/>
      <x:c r="K17" s="26"/>
      <x:c r="L17" s="26"/>
      <x:c r="M17" s="26"/>
      <x:c r="U17" s="1196"/>
      <x:c r="V17" s="1196"/>
      <x:c r="W17" s="1196"/>
      <x:c r="X17" s="1196"/>
    </x:row>
    <x:row r="18">
      <x:c r="A18" s="166" t="str">
        <x:v>Starting net nominal investment return</x:v>
      </x:c>
      <x:c r="B18" s="585" t="n">
        <x:f>Assumptions!$D$60</x:f>
        <x:v>0.02</x:v>
      </x:c>
      <x:c r="C18" s="585" t="n">
        <x:f>Assumptions!$E$60</x:f>
        <x:v>0.04</x:v>
      </x:c>
      <x:c r="D18" s="585" t="n">
        <x:f>Assumptions!$F$60</x:f>
        <x:v>0.06</x:v>
      </x:c>
      <x:c r="E18" s="586" t="n">
        <x:v>0.04</x:v>
      </x:c>
      <x:c r="F18" s="583" t="str">
        <x:v>%</x:v>
      </x:c>
      <x:c r="G18" s="26"/>
      <x:c r="H18" s="26"/>
      <x:c r="I18" s="26"/>
      <x:c r="J18" s="26"/>
      <x:c r="K18" s="26"/>
      <x:c r="L18" s="26"/>
      <x:c r="M18" s="26"/>
      <x:c r="U18" s="1196"/>
      <x:c r="V18" s="1196"/>
      <x:c r="W18" s="1196"/>
      <x:c r="X18" s="1196"/>
    </x:row>
    <x:row r="19">
      <x:c r="A19" s="26"/>
      <x:c r="B19" s="26"/>
      <x:c r="C19" s="26"/>
      <x:c r="D19" s="26"/>
      <x:c r="E19" s="26"/>
      <x:c r="F19" s="26"/>
      <x:c r="G19" s="26"/>
      <x:c r="H19" s="26"/>
      <x:c r="I19" s="26"/>
      <x:c r="J19" s="26"/>
      <x:c r="K19" s="26"/>
      <x:c r="L19" s="26"/>
      <x:c r="M19" s="26"/>
      <x:c r="U19" s="1196"/>
      <x:c r="V19" s="1196"/>
      <x:c r="W19" s="1196"/>
      <x:c r="X19" s="1196"/>
    </x:row>
    <x:row r="20" ht="22" customHeight="1">
      <x:c r="A20" s="587" t="str">
        <x:v>Five-year accumulation and participant financial outcome</x:v>
      </x:c>
      <x:c r="B20" s="587" t="str">
        <x:v>Five-year accumulation and participant financial outcome</x:v>
      </x:c>
      <x:c r="C20" s="587" t="str">
        <x:v>Five-year accumulation and participant financial outcome</x:v>
      </x:c>
      <x:c r="D20" s="587" t="str">
        <x:v>Five-year accumulation and participant financial outcome</x:v>
      </x:c>
      <x:c r="E20" s="587" t="str">
        <x:v>Five-year accumulation and participant financial outcome</x:v>
      </x:c>
      <x:c r="F20" s="587" t="str">
        <x:v>Five-year accumulation and participant financial outcome</x:v>
      </x:c>
      <x:c r="G20" s="587" t="str">
        <x:v>Five-year accumulation and participant financial outcome</x:v>
      </x:c>
      <x:c r="H20" s="587" t="str">
        <x:v>Five-year accumulation and participant financial outcome</x:v>
      </x:c>
      <x:c r="I20" s="587" t="str">
        <x:v>Five-year accumulation and participant financial outcome</x:v>
      </x:c>
      <x:c r="J20" s="587" t="str">
        <x:v>Five-year accumulation and participant financial outcome</x:v>
      </x:c>
      <x:c r="K20" s="587" t="str">
        <x:v>Five-year accumulation and participant financial outcome</x:v>
      </x:c>
      <x:c r="L20" s="587" t="str">
        <x:v>Five-year accumulation and participant financial outcome</x:v>
      </x:c>
      <x:c r="M20" s="587" t="str">
        <x:v>Five-year accumulation and participant financial outcome</x:v>
      </x:c>
      <x:c r="U20" s="1196"/>
      <x:c r="V20" s="1196"/>
      <x:c r="W20" s="1196"/>
      <x:c r="X20" s="1196"/>
    </x:row>
    <x:row r="21">
      <x:c r="A21" s="166" t="str">
        <x:v>Total participation payments earned</x:v>
      </x:c>
      <x:c r="B21" s="225" t="n">
        <x:f>B8*B13</x:f>
        <x:v>11875</x:v>
      </x:c>
      <x:c r="C21" s="225" t="n">
        <x:f>C8*C13</x:f>
        <x:v>19500</x:v>
      </x:c>
      <x:c r="D21" s="225" t="n">
        <x:f>D8*D13</x:f>
        <x:v>25200</x:v>
      </x:c>
      <x:c r="E21" s="225" t="n">
        <x:f>E8*E13</x:f>
        <x:v>30000</x:v>
      </x:c>
      <x:c r="F21" s="583" t="str">
        <x:v>NZD</x:v>
      </x:c>
      <x:c r="G21" s="26"/>
      <x:c r="H21" s="26"/>
      <x:c r="I21" s="26"/>
      <x:c r="J21" s="26"/>
      <x:c r="K21" s="26"/>
      <x:c r="L21" s="26"/>
      <x:c r="M21" s="26"/>
      <x:c r="U21" s="1196"/>
      <x:c r="V21" s="1196"/>
      <x:c r="W21" s="1196"/>
      <x:c r="X21" s="1196"/>
    </x:row>
    <x:row r="22">
      <x:c r="A22" s="166" t="str">
        <x:v>Immediate-access payments received</x:v>
      </x:c>
      <x:c r="B22" s="225" t="n">
        <x:f>B11*B13</x:f>
        <x:v>5937.5</x:v>
      </x:c>
      <x:c r="C22" s="225" t="n">
        <x:f>C11*C13</x:f>
        <x:v>9750</x:v>
      </x:c>
      <x:c r="D22" s="225" t="n">
        <x:f>D11*D13</x:f>
        <x:v>12600</x:v>
      </x:c>
      <x:c r="E22" s="225" t="n">
        <x:f>E11*E13</x:f>
        <x:v>15000</x:v>
      </x:c>
      <x:c r="F22" s="583" t="str">
        <x:v>NZD</x:v>
      </x:c>
      <x:c r="G22" s="26"/>
      <x:c r="H22" s="26"/>
      <x:c r="I22" s="26"/>
      <x:c r="J22" s="26"/>
      <x:c r="K22" s="26"/>
      <x:c r="L22" s="26"/>
      <x:c r="M22" s="26"/>
      <x:c r="U22" s="1196"/>
      <x:c r="V22" s="1196"/>
      <x:c r="W22" s="1196"/>
      <x:c r="X22" s="1196"/>
    </x:row>
    <x:row r="23">
      <x:c r="A23" s="166" t="str">
        <x:v>Nominal Learning Capital contributions</x:v>
      </x:c>
      <x:c r="B23" s="225" t="n">
        <x:f>B14</x:f>
        <x:v>5937.5</x:v>
      </x:c>
      <x:c r="C23" s="225" t="n">
        <x:f>C14</x:f>
        <x:v>9750</x:v>
      </x:c>
      <x:c r="D23" s="225" t="n">
        <x:f>D14</x:f>
        <x:v>12600</x:v>
      </x:c>
      <x:c r="E23" s="225" t="n">
        <x:f>E14</x:f>
        <x:v>15000</x:v>
      </x:c>
      <x:c r="F23" s="583" t="str">
        <x:v>NZD</x:v>
      </x:c>
      <x:c r="G23" s="26"/>
      <x:c r="H23" s="26"/>
      <x:c r="I23" s="26"/>
      <x:c r="J23" s="26"/>
      <x:c r="K23" s="26"/>
      <x:c r="L23" s="26"/>
      <x:c r="M23" s="26"/>
      <x:c r="U23" s="1196"/>
      <x:c r="V23" s="1196"/>
      <x:c r="W23" s="1196"/>
      <x:c r="X23" s="1196"/>
    </x:row>
    <x:row r="24">
      <x:c r="A24" s="166" t="str">
        <x:v>Closing balance before fees and tax</x:v>
      </x:c>
      <x:c r="B24" s="225" t="n">
        <x:f>(((((0*(1+$B$15)+($B$12/$B$6)*IF(ABS(((1+$B$15)^(1/52)-1))&lt;0.0000001,$B$6,(((1+((1+$B$15)^(1/52)-1))^$B$6-1)/((1+$B$15)^(1/52)-1))*(1+((1+$B$15)^(1/52)-1))^(52-$B$6)))*(1+$B$15)+($B$12/$B$6)*IF(ABS(((1+$B$15)^(1/52)-1))&lt;0.0000001,$B$6,(((1+((1+$B$15)^(1/52)-1))^$B$6-1)/((1+$B$15)^(1/52)-1))*(1+((1+$B$15)^(1/52)-1))^(52-$B$6)))*(1+$B$15)+($B$12/$B$6)*IF(ABS(((1+$B$15)^(1/52)-1))&lt;0.0000001,$B$6,(((1+((1+$B$15)^(1/52)-1))^$B$6-1)/((1+$B$15)^(1/52)-1))*(1+((1+$B$15)^(1/52)-1))^(52-$B$6)))*(1+MAX($B$15-Assumptions!$E$61,-0.99))+($B$12/$B$6)*IF(ABS(((1+MAX($B$15-Assumptions!$E$61,-0.99))^(1/52)-1))&lt;0.0000001,$B$6,(((1+((1+MAX($B$15-Assumptions!$E$61,-0.99))^(1/52)-1))^$B$6-1)/((1+MAX($B$15-Assumptions!$E$61,-0.99))^(1/52)-1))*(1+((1+MAX($B$15-Assumptions!$E$61,-0.99))^(1/52)-1))^(52-$B$6)))*(1+MAX($B$15-Assumptions!$E$62,-0.99))+($B$12/$B$6)*IF(ABS(((1+MAX($B$15-Assumptions!$E$62,-0.99))^(1/52)-1))&lt;0.0000001,$B$6,(((1+((1+MAX($B$15-Assumptions!$E$62,-0.99))^(1/52)-1))^$B$6-1)/((1+MAX($B$15-Assumptions!$E$62,-0.99))^(1/52)-1))*(1+((1+MAX($B$15-Assumptions!$E$62,-0.99))^(1/52)-1))^(52-$B$6)))</x:f>
        <x:v>6291.894128709322</x:v>
      </x:c>
      <x:c r="C24" s="225" t="n">
        <x:f>(((((0*(1+$C$15)+($C$12/$C$6)*IF(ABS(((1+$C$15)^(1/52)-1))&lt;0.0000001,$C$6,(((1+((1+$C$15)^(1/52)-1))^$C$6-1)/((1+$C$15)^(1/52)-1))*(1+((1+$C$15)^(1/52)-1))^(52-$C$6)))*(1+$C$15)+($C$12/$C$6)*IF(ABS(((1+$C$15)^(1/52)-1))&lt;0.0000001,$C$6,(((1+((1+$C$15)^(1/52)-1))^$C$6-1)/((1+$C$15)^(1/52)-1))*(1+((1+$C$15)^(1/52)-1))^(52-$C$6)))*(1+$C$15)+($C$12/$C$6)*IF(ABS(((1+$C$15)^(1/52)-1))&lt;0.0000001,$C$6,(((1+((1+$C$15)^(1/52)-1))^$C$6-1)/((1+$C$15)^(1/52)-1))*(1+((1+$C$15)^(1/52)-1))^(52-$C$6)))*(1+MAX($C$15-Assumptions!$E$61,-0.99))+($C$12/$C$6)*IF(ABS(((1+MAX($C$15-Assumptions!$E$61,-0.99))^(1/52)-1))&lt;0.0000001,$C$6,(((1+((1+MAX($C$15-Assumptions!$E$61,-0.99))^(1/52)-1))^$C$6-1)/((1+MAX($C$15-Assumptions!$E$61,-0.99))^(1/52)-1))*(1+((1+MAX($C$15-Assumptions!$E$61,-0.99))^(1/52)-1))^(52-$C$6)))*(1+MAX($C$15-Assumptions!$E$62,-0.99))+($C$12/$C$6)*IF(ABS(((1+MAX($C$15-Assumptions!$E$62,-0.99))^(1/52)-1))&lt;0.0000001,$C$6,(((1+((1+MAX($C$15-Assumptions!$E$62,-0.99))^(1/52)-1))^$C$6-1)/((1+MAX($C$15-Assumptions!$E$62,-0.99))^(1/52)-1))*(1+((1+MAX($C$15-Assumptions!$E$62,-0.99))^(1/52)-1))^(52-$C$6)))</x:f>
        <x:v>11032.690265582502</x:v>
      </x:c>
      <x:c r="D24" s="225" t="n">
        <x:f>(((((0*(1+$D$15)+($D$12/$D$6)*IF(ABS(((1+$D$15)^(1/52)-1))&lt;0.0000001,$D$6,(((1+((1+$D$15)^(1/52)-1))^$D$6-1)/((1+$D$15)^(1/52)-1))*(1+((1+$D$15)^(1/52)-1))^(52-$D$6)))*(1+$D$15)+($D$12/$D$6)*IF(ABS(((1+$D$15)^(1/52)-1))&lt;0.0000001,$D$6,(((1+((1+$D$15)^(1/52)-1))^$D$6-1)/((1+$D$15)^(1/52)-1))*(1+((1+$D$15)^(1/52)-1))^(52-$D$6)))*(1+$D$15)+($D$12/$D$6)*IF(ABS(((1+$D$15)^(1/52)-1))&lt;0.0000001,$D$6,(((1+((1+$D$15)^(1/52)-1))^$D$6-1)/((1+$D$15)^(1/52)-1))*(1+((1+$D$15)^(1/52)-1))^(52-$D$6)))*(1+MAX($D$15-Assumptions!$E$61,-0.99))+($D$12/$D$6)*IF(ABS(((1+MAX($D$15-Assumptions!$E$61,-0.99))^(1/52)-1))&lt;0.0000001,$D$6,(((1+((1+MAX($D$15-Assumptions!$E$61,-0.99))^(1/52)-1))^$D$6-1)/((1+MAX($D$15-Assumptions!$E$61,-0.99))^(1/52)-1))*(1+((1+MAX($D$15-Assumptions!$E$61,-0.99))^(1/52)-1))^(52-$D$6)))*(1+MAX($D$15-Assumptions!$E$62,-0.99))+($D$12/$D$6)*IF(ABS(((1+MAX($D$15-Assumptions!$E$62,-0.99))^(1/52)-1))&lt;0.0000001,$D$6,(((1+((1+MAX($D$15-Assumptions!$E$62,-0.99))^(1/52)-1))^$D$6-1)/((1+MAX($D$15-Assumptions!$E$62,-0.99))^(1/52)-1))*(1+((1+MAX($D$15-Assumptions!$E$62,-0.99))^(1/52)-1))^(52-$D$6)))</x:f>
        <x:v>15243.280599260628</x:v>
      </x:c>
      <x:c r="E24" s="225" t="n">
        <x:f>(((((0*(1+$E$15)+($E$12/$E$6)*IF(ABS(((1+$E$15)^(1/52)-1))&lt;0.0000001,$E$6,(((1+((1+$E$15)^(1/52)-1))^$E$6-1)/((1+$E$15)^(1/52)-1))*(1+((1+$E$15)^(1/52)-1))^(52-$E$6)))*(1+$E$15)+($E$12/$E$6)*IF(ABS(((1+$E$15)^(1/52)-1))&lt;0.0000001,$E$6,(((1+((1+$E$15)^(1/52)-1))^$E$6-1)/((1+$E$15)^(1/52)-1))*(1+((1+$E$15)^(1/52)-1))^(52-$E$6)))*(1+$E$15)+($E$12/$E$6)*IF(ABS(((1+$E$15)^(1/52)-1))&lt;0.0000001,$E$6,(((1+((1+$E$15)^(1/52)-1))^$E$6-1)/((1+$E$15)^(1/52)-1))*(1+((1+$E$15)^(1/52)-1))^(52-$E$6)))*(1+MAX($E$15-Assumptions!$E$61,-0.99))+($E$12/$E$6)*IF(ABS(((1+MAX($E$15-Assumptions!$E$61,-0.99))^(1/52)-1))&lt;0.0000001,$E$6,(((1+((1+MAX($E$15-Assumptions!$E$61,-0.99))^(1/52)-1))^$E$6-1)/((1+MAX($E$15-Assumptions!$E$61,-0.99))^(1/52)-1))*(1+((1+MAX($E$15-Assumptions!$E$61,-0.99))^(1/52)-1))^(52-$E$6)))*(1+MAX($E$15-Assumptions!$E$62,-0.99))+($E$12/$E$6)*IF(ABS(((1+MAX($E$15-Assumptions!$E$62,-0.99))^(1/52)-1))&lt;0.0000001,$E$6,(((1+((1+MAX($E$15-Assumptions!$E$62,-0.99))^(1/52)-1))^$E$6-1)/((1+MAX($E$15-Assumptions!$E$62,-0.99))^(1/52)-1))*(1+((1+MAX($E$15-Assumptions!$E$62,-0.99))^(1/52)-1))^(52-$E$6)))</x:f>
        <x:v>16973.369639357694</x:v>
      </x:c>
      <x:c r="F24" s="583" t="str">
        <x:v>NZD</x:v>
      </x:c>
      <x:c r="G24" s="26"/>
      <x:c r="H24" s="26"/>
      <x:c r="I24" s="26"/>
      <x:c r="J24" s="26"/>
      <x:c r="K24" s="26"/>
      <x:c r="L24" s="26"/>
      <x:c r="M24" s="26"/>
      <x:c r="U24" s="1196"/>
      <x:c r="V24" s="1196"/>
      <x:c r="W24" s="1196"/>
      <x:c r="X24" s="1196"/>
    </x:row>
    <x:row r="25">
      <x:c r="A25" s="166" t="str">
        <x:v>Investment-fee drag</x:v>
      </x:c>
      <x:c r="B25" s="225" t="n">
        <x:f>B24-((((((0*(1+($B$15-$B$16))+($B$12/$B$6)*IF(ABS(((1+($B$15-$B$16))^(1/52)-1))&lt;0.0000001,$B$6,(((1+((1+($B$15-$B$16))^(1/52)-1))^$B$6-1)/((1+($B$15-$B$16))^(1/52)-1))*(1+((1+($B$15-$B$16))^(1/52)-1))^(52-$B$6)))*(1+($B$15-$B$16))+($B$12/$B$6)*IF(ABS(((1+($B$15-$B$16))^(1/52)-1))&lt;0.0000001,$B$6,(((1+((1+($B$15-$B$16))^(1/52)-1))^$B$6-1)/((1+($B$15-$B$16))^(1/52)-1))*(1+((1+($B$15-$B$16))^(1/52)-1))^(52-$B$6)))*(1+($B$15-$B$16))+($B$12/$B$6)*IF(ABS(((1+($B$15-$B$16))^(1/52)-1))&lt;0.0000001,$B$6,(((1+((1+($B$15-$B$16))^(1/52)-1))^$B$6-1)/((1+($B$15-$B$16))^(1/52)-1))*(1+((1+($B$15-$B$16))^(1/52)-1))^(52-$B$6)))*(1+MAX(($B$15-$B$16)-Assumptions!$E$61,-0.99))+($B$12/$B$6)*IF(ABS(((1+MAX(($B$15-$B$16)-Assumptions!$E$61,-0.99))^(1/52)-1))&lt;0.0000001,$B$6,(((1+((1+MAX(($B$15-$B$16)-Assumptions!$E$61,-0.99))^(1/52)-1))^$B$6-1)/((1+MAX(($B$15-$B$16)-Assumptions!$E$61,-0.99))^(1/52)-1))*(1+((1+MAX(($B$15-$B$16)-Assumptions!$E$61,-0.99))^(1/52)-1))^(52-$B$6)))*(1+MAX(($B$15-$B$16)-Assumptions!$E$62,-0.99))+($B$12/$B$6)*IF(ABS(((1+MAX(($B$15-$B$16)-Assumptions!$E$62,-0.99))^(1/52)-1))&lt;0.0000001,$B$6,(((1+((1+MAX(($B$15-$B$16)-Assumptions!$E$62,-0.99))^(1/52)-1))^$B$6-1)/((1+MAX(($B$15-$B$16)-Assumptions!$E$62,-0.99))^(1/52)-1))*(1+((1+MAX(($B$15-$B$16)-Assumptions!$E$62,-0.99))^(1/52)-1))^(52-$B$6))))</x:f>
        <x:v>65.56745592636435</x:v>
      </x:c>
      <x:c r="C25" s="225" t="n">
        <x:f>C24-((((((0*(1+($C$15-$C$16))+($C$12/$C$6)*IF(ABS(((1+($C$15-$C$16))^(1/52)-1))&lt;0.0000001,$C$6,(((1+((1+($C$15-$C$16))^(1/52)-1))^$C$6-1)/((1+($C$15-$C$16))^(1/52)-1))*(1+((1+($C$15-$C$16))^(1/52)-1))^(52-$C$6)))*(1+($C$15-$C$16))+($C$12/$C$6)*IF(ABS(((1+($C$15-$C$16))^(1/52)-1))&lt;0.0000001,$C$6,(((1+((1+($C$15-$C$16))^(1/52)-1))^$C$6-1)/((1+($C$15-$C$16))^(1/52)-1))*(1+((1+($C$15-$C$16))^(1/52)-1))^(52-$C$6)))*(1+($C$15-$C$16))+($C$12/$C$6)*IF(ABS(((1+($C$15-$C$16))^(1/52)-1))&lt;0.0000001,$C$6,(((1+((1+($C$15-$C$16))^(1/52)-1))^$C$6-1)/((1+($C$15-$C$16))^(1/52)-1))*(1+((1+($C$15-$C$16))^(1/52)-1))^(52-$C$6)))*(1+MAX(($C$15-$C$16)-Assumptions!$E$61,-0.99))+($C$12/$C$6)*IF(ABS(((1+MAX(($C$15-$C$16)-Assumptions!$E$61,-0.99))^(1/52)-1))&lt;0.0000001,$C$6,(((1+((1+MAX(($C$15-$C$16)-Assumptions!$E$61,-0.99))^(1/52)-1))^$C$6-1)/((1+MAX(($C$15-$C$16)-Assumptions!$E$61,-0.99))^(1/52)-1))*(1+((1+MAX(($C$15-$C$16)-Assumptions!$E$61,-0.99))^(1/52)-1))^(52-$C$6)))*(1+MAX(($C$15-$C$16)-Assumptions!$E$62,-0.99))+($C$12/$C$6)*IF(ABS(((1+MAX(($C$15-$C$16)-Assumptions!$E$62,-0.99))^(1/52)-1))&lt;0.0000001,$C$6,(((1+((1+MAX(($C$15-$C$16)-Assumptions!$E$62,-0.99))^(1/52)-1))^$C$6-1)/((1+MAX(($C$15-$C$16)-Assumptions!$E$62,-0.99))^(1/52)-1))*(1+((1+MAX(($C$15-$C$16)-Assumptions!$E$62,-0.99))^(1/52)-1))^(52-$C$6))))</x:f>
        <x:v>141.68632657563649</x:v>
      </x:c>
      <x:c r="D25" s="225" t="n">
        <x:f>D24-((((((0*(1+($D$15-$D$16))+($D$12/$D$6)*IF(ABS(((1+($D$15-$D$16))^(1/52)-1))&lt;0.0000001,$D$6,(((1+((1+($D$15-$D$16))^(1/52)-1))^$D$6-1)/((1+($D$15-$D$16))^(1/52)-1))*(1+((1+($D$15-$D$16))^(1/52)-1))^(52-$D$6)))*(1+($D$15-$D$16))+($D$12/$D$6)*IF(ABS(((1+($D$15-$D$16))^(1/52)-1))&lt;0.0000001,$D$6,(((1+((1+($D$15-$D$16))^(1/52)-1))^$D$6-1)/((1+($D$15-$D$16))^(1/52)-1))*(1+((1+($D$15-$D$16))^(1/52)-1))^(52-$D$6)))*(1+($D$15-$D$16))+($D$12/$D$6)*IF(ABS(((1+($D$15-$D$16))^(1/52)-1))&lt;0.0000001,$D$6,(((1+((1+($D$15-$D$16))^(1/52)-1))^$D$6-1)/((1+($D$15-$D$16))^(1/52)-1))*(1+((1+($D$15-$D$16))^(1/52)-1))^(52-$D$6)))*(1+MAX(($D$15-$D$16)-Assumptions!$E$61,-0.99))+($D$12/$D$6)*IF(ABS(((1+MAX(($D$15-$D$16)-Assumptions!$E$61,-0.99))^(1/52)-1))&lt;0.0000001,$D$6,(((1+((1+MAX(($D$15-$D$16)-Assumptions!$E$61,-0.99))^(1/52)-1))^$D$6-1)/((1+MAX(($D$15-$D$16)-Assumptions!$E$61,-0.99))^(1/52)-1))*(1+((1+MAX(($D$15-$D$16)-Assumptions!$E$61,-0.99))^(1/52)-1))^(52-$D$6)))*(1+MAX(($D$15-$D$16)-Assumptions!$E$62,-0.99))+($D$12/$D$6)*IF(ABS(((1+MAX(($D$15-$D$16)-Assumptions!$E$62,-0.99))^(1/52)-1))&lt;0.0000001,$D$6,(((1+((1+MAX(($D$15-$D$16)-Assumptions!$E$62,-0.99))^(1/52)-1))^$D$6-1)/((1+MAX(($D$15-$D$16)-Assumptions!$E$62,-0.99))^(1/52)-1))*(1+((1+MAX(($D$15-$D$16)-Assumptions!$E$62,-0.99))^(1/52)-1))^(52-$D$6))))</x:f>
        <x:v>269.8493864864304</x:v>
      </x:c>
      <x:c r="E25" s="225" t="n">
        <x:f>E24-((((((0*(1+($E$15-$E$16))+($E$12/$E$6)*IF(ABS(((1+($E$15-$E$16))^(1/52)-1))&lt;0.0000001,$E$6,(((1+((1+($E$15-$E$16))^(1/52)-1))^$E$6-1)/((1+($E$15-$E$16))^(1/52)-1))*(1+((1+($E$15-$E$16))^(1/52)-1))^(52-$E$6)))*(1+($E$15-$E$16))+($E$12/$E$6)*IF(ABS(((1+($E$15-$E$16))^(1/52)-1))&lt;0.0000001,$E$6,(((1+((1+($E$15-$E$16))^(1/52)-1))^$E$6-1)/((1+($E$15-$E$16))^(1/52)-1))*(1+((1+($E$15-$E$16))^(1/52)-1))^(52-$E$6)))*(1+($E$15-$E$16))+($E$12/$E$6)*IF(ABS(((1+($E$15-$E$16))^(1/52)-1))&lt;0.0000001,$E$6,(((1+((1+($E$15-$E$16))^(1/52)-1))^$E$6-1)/((1+($E$15-$E$16))^(1/52)-1))*(1+((1+($E$15-$E$16))^(1/52)-1))^(52-$E$6)))*(1+MAX(($E$15-$E$16)-Assumptions!$E$61,-0.99))+($E$12/$E$6)*IF(ABS(((1+MAX(($E$15-$E$16)-Assumptions!$E$61,-0.99))^(1/52)-1))&lt;0.0000001,$E$6,(((1+((1+MAX(($E$15-$E$16)-Assumptions!$E$61,-0.99))^(1/52)-1))^$E$6-1)/((1+MAX(($E$15-$E$16)-Assumptions!$E$61,-0.99))^(1/52)-1))*(1+((1+MAX(($E$15-$E$16)-Assumptions!$E$61,-0.99))^(1/52)-1))^(52-$E$6)))*(1+MAX(($E$15-$E$16)-Assumptions!$E$62,-0.99))+($E$12/$E$6)*IF(ABS(((1+MAX(($E$15-$E$16)-Assumptions!$E$62,-0.99))^(1/52)-1))&lt;0.0000001,$E$6,(((1+((1+MAX(($E$15-$E$16)-Assumptions!$E$62,-0.99))^(1/52)-1))^$E$6-1)/((1+MAX(($E$15-$E$16)-Assumptions!$E$62,-0.99))^(1/52)-1))*(1+((1+MAX(($E$15-$E$16)-Assumptions!$E$62,-0.99))^(1/52)-1))^(52-$E$6))))</x:f>
        <x:v>217.97896396251963</x:v>
      </x:c>
      <x:c r="F25" s="583" t="str">
        <x:v>NZD</x:v>
      </x:c>
      <x:c r="G25" s="26"/>
      <x:c r="H25" s="26"/>
      <x:c r="I25" s="26"/>
      <x:c r="J25" s="26"/>
      <x:c r="K25" s="26"/>
      <x:c r="L25" s="26"/>
      <x:c r="M25" s="26"/>
      <x:c r="U25" s="1196"/>
      <x:c r="V25" s="1196"/>
      <x:c r="W25" s="1196"/>
      <x:c r="X25" s="1196"/>
    </x:row>
    <x:row r="26">
      <x:c r="A26" s="559" t="str">
        <x:v>Closing nominal Learning Capital balance</x:v>
      </x:c>
      <x:c r="B26" s="560" t="n">
        <x:f>(((((0*(1+$B$18)+($B$12/$B$6)*IF(ABS(((1+$B$18)^(1/52)-1))&lt;0.0000001,$B$6,(((1+((1+$B$18)^(1/52)-1))^$B$6-1)/((1+$B$18)^(1/52)-1))*(1+((1+$B$18)^(1/52)-1))^(52-$B$6)))*(1+$B$18)+($B$12/$B$6)*IF(ABS(((1+$B$18)^(1/52)-1))&lt;0.0000001,$B$6,(((1+((1+$B$18)^(1/52)-1))^$B$6-1)/((1+$B$18)^(1/52)-1))*(1+((1+$B$18)^(1/52)-1))^(52-$B$6)))*(1+$B$18)+($B$12/$B$6)*IF(ABS(((1+$B$18)^(1/52)-1))&lt;0.0000001,$B$6,(((1+((1+$B$18)^(1/52)-1))^$B$6-1)/((1+$B$18)^(1/52)-1))*(1+((1+$B$18)^(1/52)-1))^(52-$B$6)))*(1+MAX($B$18-Assumptions!$E$61,-0.99))+($B$12/$B$6)*IF(ABS(((1+MAX($B$18-Assumptions!$E$61,-0.99))^(1/52)-1))&lt;0.0000001,$B$6,(((1+((1+MAX($B$18-Assumptions!$E$61,-0.99))^(1/52)-1))^$B$6-1)/((1+MAX($B$18-Assumptions!$E$61,-0.99))^(1/52)-1))*(1+((1+MAX($B$18-Assumptions!$E$61,-0.99))^(1/52)-1))^(52-$B$6)))*(1+MAX($B$18-Assumptions!$E$62,-0.99))+($B$12/$B$6)*IF(ABS(((1+MAX($B$18-Assumptions!$E$62,-0.99))^(1/52)-1))&lt;0.0000001,$B$6,(((1+((1+MAX($B$18-Assumptions!$E$62,-0.99))^(1/52)-1))^$B$6-1)/((1+MAX($B$18-Assumptions!$E$62,-0.99))^(1/52)-1))*(1+((1+MAX($B$18-Assumptions!$E$62,-0.99))^(1/52)-1))^(52-$B$6)))</x:f>
        <x:v>6177.560266507666</x:v>
      </x:c>
      <x:c r="C26" s="560" t="n">
        <x:f>(((((0*(1+$C$18)+($C$12/$C$6)*IF(ABS(((1+$C$18)^(1/52)-1))&lt;0.0000001,$C$6,(((1+((1+$C$18)^(1/52)-1))^$C$6-1)/((1+$C$18)^(1/52)-1))*(1+((1+$C$18)^(1/52)-1))^(52-$C$6)))*(1+$C$18)+($C$12/$C$6)*IF(ABS(((1+$C$18)^(1/52)-1))&lt;0.0000001,$C$6,(((1+((1+$C$18)^(1/52)-1))^$C$6-1)/((1+$C$18)^(1/52)-1))*(1+((1+$C$18)^(1/52)-1))^(52-$C$6)))*(1+$C$18)+($C$12/$C$6)*IF(ABS(((1+$C$18)^(1/52)-1))&lt;0.0000001,$C$6,(((1+((1+$C$18)^(1/52)-1))^$C$6-1)/((1+$C$18)^(1/52)-1))*(1+((1+$C$18)^(1/52)-1))^(52-$C$6)))*(1+MAX($C$18-Assumptions!$E$61,-0.99))+($C$12/$C$6)*IF(ABS(((1+MAX($C$18-Assumptions!$E$61,-0.99))^(1/52)-1))&lt;0.0000001,$C$6,(((1+((1+MAX($C$18-Assumptions!$E$61,-0.99))^(1/52)-1))^$C$6-1)/((1+MAX($C$18-Assumptions!$E$61,-0.99))^(1/52)-1))*(1+((1+MAX($C$18-Assumptions!$E$61,-0.99))^(1/52)-1))^(52-$C$6)))*(1+MAX($C$18-Assumptions!$E$62,-0.99))+($C$12/$C$6)*IF(ABS(((1+MAX($C$18-Assumptions!$E$62,-0.99))^(1/52)-1))&lt;0.0000001,$C$6,(((1+((1+MAX($C$18-Assumptions!$E$62,-0.99))^(1/52)-1))^$C$6-1)/((1+MAX($C$18-Assumptions!$E$62,-0.99))^(1/52)-1))*(1+((1+MAX($C$18-Assumptions!$E$62,-0.99))^(1/52)-1))^(52-$C$6)))</x:f>
        <x:v>10681.574885879425</x:v>
      </x:c>
      <x:c r="D26" s="560" t="n">
        <x:f>(((((0*(1+$D$18)+($D$12/$D$6)*IF(ABS(((1+$D$18)^(1/52)-1))&lt;0.0000001,$D$6,(((1+((1+$D$18)^(1/52)-1))^$D$6-1)/((1+$D$18)^(1/52)-1))*(1+((1+$D$18)^(1/52)-1))^(52-$D$6)))*(1+$D$18)+($D$12/$D$6)*IF(ABS(((1+$D$18)^(1/52)-1))&lt;0.0000001,$D$6,(((1+((1+$D$18)^(1/52)-1))^$D$6-1)/((1+$D$18)^(1/52)-1))*(1+((1+$D$18)^(1/52)-1))^(52-$D$6)))*(1+$D$18)+($D$12/$D$6)*IF(ABS(((1+$D$18)^(1/52)-1))&lt;0.0000001,$D$6,(((1+((1+$D$18)^(1/52)-1))^$D$6-1)/((1+$D$18)^(1/52)-1))*(1+((1+$D$18)^(1/52)-1))^(52-$D$6)))*(1+MAX($D$18-Assumptions!$E$61,-0.99))+($D$12/$D$6)*IF(ABS(((1+MAX($D$18-Assumptions!$E$61,-0.99))^(1/52)-1))&lt;0.0000001,$D$6,(((1+((1+MAX($D$18-Assumptions!$E$61,-0.99))^(1/52)-1))^$D$6-1)/((1+MAX($D$18-Assumptions!$E$61,-0.99))^(1/52)-1))*(1+((1+MAX($D$18-Assumptions!$E$61,-0.99))^(1/52)-1))^(52-$D$6)))*(1+MAX($D$18-Assumptions!$E$62,-0.99))+($D$12/$D$6)*IF(ABS(((1+MAX($D$18-Assumptions!$E$62,-0.99))^(1/52)-1))&lt;0.0000001,$D$6,(((1+((1+MAX($D$18-Assumptions!$E$62,-0.99))^(1/52)-1))^$D$6-1)/((1+MAX($D$18-Assumptions!$E$62,-0.99))^(1/52)-1))*(1+((1+MAX($D$18-Assumptions!$E$62,-0.99))^(1/52)-1))^(52-$D$6)))</x:f>
        <x:v>14520.89817779505</x:v>
      </x:c>
      <x:c r="E26" s="560" t="n">
        <x:f>(((((0*(1+$E$18)+($E$12/$E$6)*IF(ABS(((1+$E$18)^(1/52)-1))&lt;0.0000001,$E$6,(((1+((1+$E$18)^(1/52)-1))^$E$6-1)/((1+$E$18)^(1/52)-1))*(1+((1+$E$18)^(1/52)-1))^(52-$E$6)))*(1+$E$18)+($E$12/$E$6)*IF(ABS(((1+$E$18)^(1/52)-1))&lt;0.0000001,$E$6,(((1+((1+$E$18)^(1/52)-1))^$E$6-1)/((1+$E$18)^(1/52)-1))*(1+((1+$E$18)^(1/52)-1))^(52-$E$6)))*(1+$E$18)+($E$12/$E$6)*IF(ABS(((1+$E$18)^(1/52)-1))&lt;0.0000001,$E$6,(((1+((1+$E$18)^(1/52)-1))^$E$6-1)/((1+$E$18)^(1/52)-1))*(1+((1+$E$18)^(1/52)-1))^(52-$E$6)))*(1+MAX($E$18-Assumptions!$E$61,-0.99))+($E$12/$E$6)*IF(ABS(((1+MAX($E$18-Assumptions!$E$61,-0.99))^(1/52)-1))&lt;0.0000001,$E$6,(((1+((1+MAX($E$18-Assumptions!$E$61,-0.99))^(1/52)-1))^$E$6-1)/((1+MAX($E$18-Assumptions!$E$61,-0.99))^(1/52)-1))*(1+((1+MAX($E$18-Assumptions!$E$61,-0.99))^(1/52)-1))^(52-$E$6)))*(1+MAX($E$18-Assumptions!$E$62,-0.99))+($E$12/$E$6)*IF(ABS(((1+MAX($E$18-Assumptions!$E$62,-0.99))^(1/52)-1))&lt;0.0000001,$E$6,(((1+((1+MAX($E$18-Assumptions!$E$62,-0.99))^(1/52)-1))^$E$6-1)/((1+MAX($E$18-Assumptions!$E$62,-0.99))^(1/52)-1))*(1+((1+MAX($E$18-Assumptions!$E$62,-0.99))^(1/52)-1))^(52-$E$6)))</x:f>
        <x:v>16433.19213212219</x:v>
      </x:c>
      <x:c r="F26" s="583" t="str">
        <x:v>NZD</x:v>
      </x:c>
      <x:c r="G26" s="26"/>
      <x:c r="H26" s="26"/>
      <x:c r="I26" s="26"/>
      <x:c r="J26" s="26"/>
      <x:c r="K26" s="26"/>
      <x:c r="L26" s="26"/>
      <x:c r="M26" s="26"/>
      <x:c r="U26" s="1196"/>
      <x:c r="V26" s="1196"/>
      <x:c r="W26" s="1196"/>
      <x:c r="X26" s="1196"/>
    </x:row>
    <x:row r="27">
      <x:c r="A27" s="166" t="str">
        <x:v>Investment-tax drag</x:v>
      </x:c>
      <x:c r="B27" s="225" t="n">
        <x:f>((((((0*(1+($B$15-$B$16))+($B$12/$B$6)*IF(ABS(((1+($B$15-$B$16))^(1/52)-1))&lt;0.0000001,$B$6,(((1+((1+($B$15-$B$16))^(1/52)-1))^$B$6-1)/((1+($B$15-$B$16))^(1/52)-1))*(1+((1+($B$15-$B$16))^(1/52)-1))^(52-$B$6)))*(1+($B$15-$B$16))+($B$12/$B$6)*IF(ABS(((1+($B$15-$B$16))^(1/52)-1))&lt;0.0000001,$B$6,(((1+((1+($B$15-$B$16))^(1/52)-1))^$B$6-1)/((1+($B$15-$B$16))^(1/52)-1))*(1+((1+($B$15-$B$16))^(1/52)-1))^(52-$B$6)))*(1+($B$15-$B$16))+($B$12/$B$6)*IF(ABS(((1+($B$15-$B$16))^(1/52)-1))&lt;0.0000001,$B$6,(((1+((1+($B$15-$B$16))^(1/52)-1))^$B$6-1)/((1+($B$15-$B$16))^(1/52)-1))*(1+((1+($B$15-$B$16))^(1/52)-1))^(52-$B$6)))*(1+MAX(($B$15-$B$16)-Assumptions!$E$61,-0.99))+($B$12/$B$6)*IF(ABS(((1+MAX(($B$15-$B$16)-Assumptions!$E$61,-0.99))^(1/52)-1))&lt;0.0000001,$B$6,(((1+((1+MAX(($B$15-$B$16)-Assumptions!$E$61,-0.99))^(1/52)-1))^$B$6-1)/((1+MAX(($B$15-$B$16)-Assumptions!$E$61,-0.99))^(1/52)-1))*(1+((1+MAX(($B$15-$B$16)-Assumptions!$E$61,-0.99))^(1/52)-1))^(52-$B$6)))*(1+MAX(($B$15-$B$16)-Assumptions!$E$62,-0.99))+($B$12/$B$6)*IF(ABS(((1+MAX(($B$15-$B$16)-Assumptions!$E$62,-0.99))^(1/52)-1))&lt;0.0000001,$B$6,(((1+((1+MAX(($B$15-$B$16)-Assumptions!$E$62,-0.99))^(1/52)-1))^$B$6-1)/((1+MAX(($B$15-$B$16)-Assumptions!$E$62,-0.99))^(1/52)-1))*(1+((1+MAX(($B$15-$B$16)-Assumptions!$E$62,-0.99))^(1/52)-1))^(52-$B$6))))-B26</x:f>
        <x:v>48.766406275291956</x:v>
      </x:c>
      <x:c r="C27" s="225" t="n">
        <x:f>((((((0*(1+($C$15-$C$16))+($C$12/$C$6)*IF(ABS(((1+($C$15-$C$16))^(1/52)-1))&lt;0.0000001,$C$6,(((1+((1+($C$15-$C$16))^(1/52)-1))^$C$6-1)/((1+($C$15-$C$16))^(1/52)-1))*(1+((1+($C$15-$C$16))^(1/52)-1))^(52-$C$6)))*(1+($C$15-$C$16))+($C$12/$C$6)*IF(ABS(((1+($C$15-$C$16))^(1/52)-1))&lt;0.0000001,$C$6,(((1+((1+($C$15-$C$16))^(1/52)-1))^$C$6-1)/((1+($C$15-$C$16))^(1/52)-1))*(1+((1+($C$15-$C$16))^(1/52)-1))^(52-$C$6)))*(1+($C$15-$C$16))+($C$12/$C$6)*IF(ABS(((1+($C$15-$C$16))^(1/52)-1))&lt;0.0000001,$C$6,(((1+((1+($C$15-$C$16))^(1/52)-1))^$C$6-1)/((1+($C$15-$C$16))^(1/52)-1))*(1+((1+($C$15-$C$16))^(1/52)-1))^(52-$C$6)))*(1+MAX(($C$15-$C$16)-Assumptions!$E$61,-0.99))+($C$12/$C$6)*IF(ABS(((1+MAX(($C$15-$C$16)-Assumptions!$E$61,-0.99))^(1/52)-1))&lt;0.0000001,$C$6,(((1+((1+MAX(($C$15-$C$16)-Assumptions!$E$61,-0.99))^(1/52)-1))^$C$6-1)/((1+MAX(($C$15-$C$16)-Assumptions!$E$61,-0.99))^(1/52)-1))*(1+((1+MAX(($C$15-$C$16)-Assumptions!$E$61,-0.99))^(1/52)-1))^(52-$C$6)))*(1+MAX(($C$15-$C$16)-Assumptions!$E$62,-0.99))+($C$12/$C$6)*IF(ABS(((1+MAX(($C$15-$C$16)-Assumptions!$E$62,-0.99))^(1/52)-1))&lt;0.0000001,$C$6,(((1+((1+MAX(($C$15-$C$16)-Assumptions!$E$62,-0.99))^(1/52)-1))^$C$6-1)/((1+MAX(($C$15-$C$16)-Assumptions!$E$62,-0.99))^(1/52)-1))*(1+((1+MAX(($C$15-$C$16)-Assumptions!$E$62,-0.99))^(1/52)-1))^(52-$C$6))))-C26</x:f>
        <x:v>209.42905312744006</x:v>
      </x:c>
      <x:c r="D27" s="225" t="n">
        <x:f>((((((0*(1+($D$15-$D$16))+($D$12/$D$6)*IF(ABS(((1+($D$15-$D$16))^(1/52)-1))&lt;0.0000001,$D$6,(((1+((1+($D$15-$D$16))^(1/52)-1))^$D$6-1)/((1+($D$15-$D$16))^(1/52)-1))*(1+((1+($D$15-$D$16))^(1/52)-1))^(52-$D$6)))*(1+($D$15-$D$16))+($D$12/$D$6)*IF(ABS(((1+($D$15-$D$16))^(1/52)-1))&lt;0.0000001,$D$6,(((1+((1+($D$15-$D$16))^(1/52)-1))^$D$6-1)/((1+($D$15-$D$16))^(1/52)-1))*(1+((1+($D$15-$D$16))^(1/52)-1))^(52-$D$6)))*(1+($D$15-$D$16))+($D$12/$D$6)*IF(ABS(((1+($D$15-$D$16))^(1/52)-1))&lt;0.0000001,$D$6,(((1+((1+($D$15-$D$16))^(1/52)-1))^$D$6-1)/((1+($D$15-$D$16))^(1/52)-1))*(1+((1+($D$15-$D$16))^(1/52)-1))^(52-$D$6)))*(1+MAX(($D$15-$D$16)-Assumptions!$E$61,-0.99))+($D$12/$D$6)*IF(ABS(((1+MAX(($D$15-$D$16)-Assumptions!$E$61,-0.99))^(1/52)-1))&lt;0.0000001,$D$6,(((1+((1+MAX(($D$15-$D$16)-Assumptions!$E$61,-0.99))^(1/52)-1))^$D$6-1)/((1+MAX(($D$15-$D$16)-Assumptions!$E$61,-0.99))^(1/52)-1))*(1+((1+MAX(($D$15-$D$16)-Assumptions!$E$61,-0.99))^(1/52)-1))^(52-$D$6)))*(1+MAX(($D$15-$D$16)-Assumptions!$E$62,-0.99))+($D$12/$D$6)*IF(ABS(((1+MAX(($D$15-$D$16)-Assumptions!$E$62,-0.99))^(1/52)-1))&lt;0.0000001,$D$6,(((1+((1+MAX(($D$15-$D$16)-Assumptions!$E$62,-0.99))^(1/52)-1))^$D$6-1)/((1+MAX(($D$15-$D$16)-Assumptions!$E$62,-0.99))^(1/52)-1))*(1+((1+MAX(($D$15-$D$16)-Assumptions!$E$62,-0.99))^(1/52)-1))^(52-$D$6))))-D26</x:f>
        <x:v>452.5330349791475</x:v>
      </x:c>
      <x:c r="E27" s="225" t="n">
        <x:f>((((((0*(1+($E$15-$E$16))+($E$12/$E$6)*IF(ABS(((1+($E$15-$E$16))^(1/52)-1))&lt;0.0000001,$E$6,(((1+((1+($E$15-$E$16))^(1/52)-1))^$E$6-1)/((1+($E$15-$E$16))^(1/52)-1))*(1+((1+($E$15-$E$16))^(1/52)-1))^(52-$E$6)))*(1+($E$15-$E$16))+($E$12/$E$6)*IF(ABS(((1+($E$15-$E$16))^(1/52)-1))&lt;0.0000001,$E$6,(((1+((1+($E$15-$E$16))^(1/52)-1))^$E$6-1)/((1+($E$15-$E$16))^(1/52)-1))*(1+((1+($E$15-$E$16))^(1/52)-1))^(52-$E$6)))*(1+($E$15-$E$16))+($E$12/$E$6)*IF(ABS(((1+($E$15-$E$16))^(1/52)-1))&lt;0.0000001,$E$6,(((1+((1+($E$15-$E$16))^(1/52)-1))^$E$6-1)/((1+($E$15-$E$16))^(1/52)-1))*(1+((1+($E$15-$E$16))^(1/52)-1))^(52-$E$6)))*(1+MAX(($E$15-$E$16)-Assumptions!$E$61,-0.99))+($E$12/$E$6)*IF(ABS(((1+MAX(($E$15-$E$16)-Assumptions!$E$61,-0.99))^(1/52)-1))&lt;0.0000001,$E$6,(((1+((1+MAX(($E$15-$E$16)-Assumptions!$E$61,-0.99))^(1/52)-1))^$E$6-1)/((1+MAX(($E$15-$E$16)-Assumptions!$E$61,-0.99))^(1/52)-1))*(1+((1+MAX(($E$15-$E$16)-Assumptions!$E$61,-0.99))^(1/52)-1))^(52-$E$6)))*(1+MAX(($E$15-$E$16)-Assumptions!$E$62,-0.99))+($E$12/$E$6)*IF(ABS(((1+MAX(($E$15-$E$16)-Assumptions!$E$62,-0.99))^(1/52)-1))&lt;0.0000001,$E$6,(((1+((1+MAX(($E$15-$E$16)-Assumptions!$E$62,-0.99))^(1/52)-1))^$E$6-1)/((1+MAX(($E$15-$E$16)-Assumptions!$E$62,-0.99))^(1/52)-1))*(1+((1+MAX(($E$15-$E$16)-Assumptions!$E$62,-0.99))^(1/52)-1))^(52-$E$6))))-E26</x:f>
        <x:v>322.19854327298526</x:v>
      </x:c>
      <x:c r="F27" s="583" t="str">
        <x:v>NZD</x:v>
      </x:c>
      <x:c r="G27" s="26"/>
      <x:c r="H27" s="26"/>
      <x:c r="I27" s="26"/>
      <x:c r="J27" s="26"/>
      <x:c r="K27" s="26"/>
      <x:c r="L27" s="26"/>
      <x:c r="M27" s="26"/>
      <x:c r="U27" s="1196"/>
      <x:c r="V27" s="1196"/>
      <x:c r="W27" s="1196"/>
      <x:c r="X27" s="1196"/>
    </x:row>
    <x:row r="28">
      <x:c r="A28" s="166" t="str">
        <x:v>Net investment earnings</x:v>
      </x:c>
      <x:c r="B28" s="225" t="n">
        <x:f>B26-B23</x:f>
        <x:v>240.0602665076658</x:v>
      </x:c>
      <x:c r="C28" s="225" t="n">
        <x:f>C26-C23</x:f>
        <x:v>931.574885879425</x:v>
      </x:c>
      <x:c r="D28" s="225" t="n">
        <x:f>D26-D23</x:f>
        <x:v>1920.8981777950503</x:v>
      </x:c>
      <x:c r="E28" s="225" t="n">
        <x:f>E26-E23</x:f>
        <x:v>1433.192132122189</x:v>
      </x:c>
      <x:c r="F28" s="583" t="str">
        <x:v>NZD</x:v>
      </x:c>
      <x:c r="G28" s="26"/>
      <x:c r="H28" s="26"/>
      <x:c r="I28" s="26"/>
      <x:c r="J28" s="26"/>
      <x:c r="K28" s="26"/>
      <x:c r="L28" s="26"/>
      <x:c r="M28" s="26"/>
      <x:c r="U28" s="1196"/>
      <x:c r="V28" s="1196"/>
      <x:c r="W28" s="1196"/>
      <x:c r="X28" s="1196"/>
    </x:row>
    <x:row r="29">
      <x:c r="A29" s="166" t="str">
        <x:v>Closing balance in 2026 purchasing-power terms</x:v>
      </x:c>
      <x:c r="B29" s="225" t="n">
        <x:f>B26/PRODUCT(1+Assumptions!$E$94:Assumptions!$E$98)</x:f>
        <x:v>5528.846375876876</x:v>
      </x:c>
      <x:c r="C29" s="225" t="n">
        <x:f>C26/PRODUCT(1+Assumptions!$E$94:Assumptions!$E$98)</x:f>
        <x:v>9559.88837804382</x:v>
      </x:c>
      <x:c r="D29" s="225" t="n">
        <x:f>D26/PRODUCT(1+Assumptions!$E$94:Assumptions!$E$98)</x:f>
        <x:v>12996.039180717828</x:v>
      </x:c>
      <x:c r="E29" s="225" t="n">
        <x:f>E26/PRODUCT(1+Assumptions!$E$94:Assumptions!$E$98)</x:f>
        <x:v>14707.520581605873</x:v>
      </x:c>
      <x:c r="F29" s="583" t="str">
        <x:v>NZD real</x:v>
      </x:c>
      <x:c r="G29" s="26"/>
      <x:c r="H29" s="26"/>
      <x:c r="I29" s="26"/>
      <x:c r="J29" s="26"/>
      <x:c r="K29" s="26"/>
      <x:c r="L29" s="26"/>
      <x:c r="M29" s="26"/>
      <x:c r="U29" s="1196"/>
      <x:c r="V29" s="1196"/>
      <x:c r="W29" s="1196"/>
      <x:c r="X29" s="1196"/>
    </x:row>
    <x:row r="30">
      <x:c r="A30" s="166" t="str">
        <x:v>Expected approved education or training costs paid</x:v>
      </x:c>
      <x:c r="B30" s="225" t="n">
        <x:f>MIN(B26,Assumptions!$D$64)*(Assumptions!$D$70+Assumptions!$D$71)*Assumptions!$D$72</x:f>
        <x:v>2128.169511811891</x:v>
      </x:c>
      <x:c r="C30" s="225" t="n">
        <x:f>MIN(C26,Assumptions!$E$64)*(Assumptions!$E$70+Assumptions!$E$71)*Assumptions!$E$72</x:f>
        <x:v>5725.324138831373</x:v>
      </x:c>
      <x:c r="D30" s="225" t="n">
        <x:f>MIN(D26,Assumptions!$F$64)*(Assumptions!$F$70+Assumptions!$F$71)*Assumptions!$F$72</x:f>
        <x:v>10455.046688012439</x:v>
      </x:c>
      <x:c r="E30" s="225" t="n">
        <x:f>MIN(E26,Assumptions!$E$64)*(Assumptions!$E$70+Assumptions!$E$71)*Assumptions!$E$72</x:f>
        <x:v>8808.190982817494</x:v>
      </x:c>
      <x:c r="F30" s="583" t="str">
        <x:v>NZD</x:v>
      </x:c>
      <x:c r="G30" s="26"/>
      <x:c r="H30" s="26"/>
      <x:c r="I30" s="26"/>
      <x:c r="J30" s="26"/>
      <x:c r="K30" s="26"/>
      <x:c r="L30" s="26"/>
      <x:c r="M30" s="26"/>
      <x:c r="U30" s="1196"/>
      <x:c r="V30" s="1196"/>
      <x:c r="W30" s="1196"/>
      <x:c r="X30" s="1196"/>
    </x:row>
    <x:row r="31">
      <x:c r="A31" s="588" t="str">
        <x:v>Potential student-loan principal displaced</x:v>
      </x:c>
      <x:c r="B31" s="589" t="n">
        <x:f>B30*Assumptions!$D$73*Assumptions!$D$74</x:f>
        <x:v>574.6057681892105</x:v>
      </x:c>
      <x:c r="C31" s="589" t="n">
        <x:f>C30*Assumptions!$E$73*Assumptions!$E$74</x:f>
        <x:v>2748.155586639059</x:v>
      </x:c>
      <x:c r="D31" s="589" t="n">
        <x:f>D30*Assumptions!$F$73*Assumptions!$F$74</x:f>
        <x:v>7449.220765208863</x:v>
      </x:c>
      <x:c r="E31" s="589" t="n">
        <x:f>E30*Assumptions!$E$73*Assumptions!$E$74</x:f>
        <x:v>4227.931671752397</x:v>
      </x:c>
      <x:c r="F31" s="583" t="str">
        <x:v>NZD</x:v>
      </x:c>
      <x:c r="G31" s="26"/>
      <x:c r="H31" s="26"/>
      <x:c r="I31" s="26"/>
      <x:c r="J31" s="26"/>
      <x:c r="K31" s="26"/>
      <x:c r="L31" s="26"/>
      <x:c r="M31" s="26"/>
      <x:c r="U31" s="1196"/>
      <x:c r="V31" s="1196"/>
      <x:c r="W31" s="1196"/>
      <x:c r="X31" s="1196"/>
    </x:row>
    <x:row r="32">
      <x:c r="A32" s="166" t="str">
        <x:v>Expected remaining protected balance</x:v>
      </x:c>
      <x:c r="B32" s="225" t="n">
        <x:f>MAX(0,B26-B30)</x:f>
        <x:v>4049.390754695775</x:v>
      </x:c>
      <x:c r="C32" s="225" t="n">
        <x:f>MAX(0,C26-C30)</x:f>
        <x:v>4956.250747048052</x:v>
      </x:c>
      <x:c r="D32" s="225" t="n">
        <x:f>MAX(0,D26-D30)</x:f>
        <x:v>4065.8514897826117</x:v>
      </x:c>
      <x:c r="E32" s="225" t="n">
        <x:f>MAX(0,E26-E30)</x:f>
        <x:v>7625.001149304695</x:v>
      </x:c>
      <x:c r="F32" s="583" t="str">
        <x:v>NZD</x:v>
      </x:c>
      <x:c r="G32" s="26"/>
      <x:c r="H32" s="26"/>
      <x:c r="I32" s="26"/>
      <x:c r="J32" s="26"/>
      <x:c r="K32" s="26"/>
      <x:c r="L32" s="26"/>
      <x:c r="M32" s="26"/>
      <x:c r="U32" s="1196"/>
      <x:c r="V32" s="1196"/>
      <x:c r="W32" s="1196"/>
      <x:c r="X32" s="1196"/>
    </x:row>
    <x:row r="33">
      <x:c r="A33" s="166" t="str">
        <x:v>Education-capital coverage</x:v>
      </x:c>
      <x:c r="B33" s="584" t="n">
        <x:f>B30/Assumptions!$D$64</x:f>
        <x:v>0.14187796745412606</x:v>
      </x:c>
      <x:c r="C33" s="584" t="n">
        <x:f>C30/Assumptions!$E$64</x:f>
        <x:v>0.2290129655532549</x:v>
      </x:c>
      <x:c r="D33" s="584" t="n">
        <x:f>D30/Assumptions!$F$64</x:f>
        <x:v>0.29871561965749827</x:v>
      </x:c>
      <x:c r="E33" s="584" t="n">
        <x:f>E30/Assumptions!$E$64</x:f>
        <x:v>0.3523276393126998</x:v>
      </x:c>
      <x:c r="F33" s="583" t="str">
        <x:v>%</x:v>
      </x:c>
      <x:c r="G33" s="26"/>
      <x:c r="H33" s="26"/>
      <x:c r="I33" s="26"/>
      <x:c r="J33" s="26"/>
      <x:c r="K33" s="26"/>
      <x:c r="L33" s="26"/>
      <x:c r="M33" s="26"/>
      <x:c r="U33" s="1196"/>
      <x:c r="V33" s="1196"/>
      <x:c r="W33" s="1196"/>
      <x:c r="X33" s="1196"/>
    </x:row>
    <x:row r="34">
      <x:c r="A34" s="166" t="str">
        <x:v>Debt-displacement percentage</x:v>
      </x:c>
      <x:c r="B34" s="584" t="n">
        <x:f>B31/Assumptions!$D$68</x:f>
        <x:v>0.03272801550317312</x:v>
      </x:c>
      <x:c r="C34" s="584" t="n">
        <x:f>C31/Assumptions!$E$68</x:f>
        <x:v>0.15652762924412253</x:v>
      </x:c>
      <x:c r="D34" s="584" t="n">
        <x:f>D31/Assumptions!$F$68</x:f>
        <x:v>0.42428779206065176</x:v>
      </x:c>
      <x:c r="E34" s="584" t="n">
        <x:f>E31/Assumptions!$E$68</x:f>
        <x:v>0.24081173729864994</x:v>
      </x:c>
      <x:c r="F34" s="583" t="str">
        <x:v>%</x:v>
      </x:c>
      <x:c r="G34" s="26"/>
      <x:c r="H34" s="26"/>
      <x:c r="I34" s="26"/>
      <x:c r="J34" s="26"/>
      <x:c r="K34" s="26"/>
      <x:c r="L34" s="26"/>
      <x:c r="M34" s="26"/>
      <x:c r="U34" s="1196"/>
      <x:c r="V34" s="1196"/>
      <x:c r="W34" s="1196"/>
      <x:c r="X34" s="1196"/>
    </x:row>
    <x:row r="35">
      <x:c r="A35" s="166" t="str">
        <x:v>Likely repayment years avoided</x:v>
      </x:c>
      <x:c r="B35" s="590" t="n">
        <x:f>MIN(Assumptions!$D$77,B34*Assumptions!$D$77)</x:f>
        <x:v>0.18000408526745215</x:v>
      </x:c>
      <x:c r="C35" s="590" t="n">
        <x:f>MIN(Assumptions!$E$77,C34*Assumptions!$E$77)</x:f>
        <x:v>1.0174295900867965</x:v>
      </x:c>
      <x:c r="D35" s="590" t="n">
        <x:f>MIN(Assumptions!$F$77,D34*Assumptions!$F$77)</x:f>
        <x:v>3.394302336485214</x:v>
      </x:c>
      <x:c r="E35" s="590" t="n">
        <x:f>MIN(Assumptions!$E$77,E34*Assumptions!$E$77)</x:f>
        <x:v>1.5652762924412247</x:v>
      </x:c>
      <x:c r="F35" s="583" t="str">
        <x:v>years</x:v>
      </x:c>
      <x:c r="G35" s="26"/>
      <x:c r="H35" s="26"/>
      <x:c r="I35" s="26"/>
      <x:c r="J35" s="26"/>
      <x:c r="K35" s="26"/>
      <x:c r="L35" s="26"/>
      <x:c r="M35" s="26"/>
      <x:c r="U35" s="1196"/>
      <x:c r="V35" s="1196"/>
      <x:c r="W35" s="1196"/>
      <x:c r="X35" s="1196"/>
    </x:row>
    <x:row r="36">
      <x:c r="A36" s="166" t="str">
        <x:v>Potential overseas-borrower interest avoided</x:v>
      </x:c>
      <x:c r="B36" s="225" t="n">
        <x:f>B31*Assumptions!$D$78*((1+Assumptions!$D$79)^Assumptions!$D$77-1)</x:f>
        <x:v>20.282935324233453</x:v>
      </x:c>
      <x:c r="C36" s="225" t="n">
        <x:f>C31*Assumptions!$E$78*((1+Assumptions!$E$79)^Assumptions!$E$77-1)</x:f>
        <x:v>216.61172572521508</x:v>
      </x:c>
      <x:c r="D36" s="225" t="n">
        <x:f>D31*Assumptions!$F$78*((1+Assumptions!$F$79)^Assumptions!$F$77-1)</x:f>
        <x:v>1266.411285323004</x:v>
      </x:c>
      <x:c r="E36" s="225" t="n">
        <x:f>E31*Assumptions!$E$78*((1+Assumptions!$E$79)^Assumptions!$E$77-1)</x:f>
        <x:v>333.24880880802306</x:v>
      </x:c>
      <x:c r="F36" s="583" t="str">
        <x:v>NZD sensitivity</x:v>
      </x:c>
      <x:c r="G36" s="26"/>
      <x:c r="H36" s="26"/>
      <x:c r="I36" s="26"/>
      <x:c r="J36" s="26"/>
      <x:c r="K36" s="26"/>
      <x:c r="L36" s="26"/>
      <x:c r="M36" s="26"/>
      <x:c r="U36" s="1196"/>
      <x:c r="V36" s="1196"/>
      <x:c r="W36" s="1196"/>
      <x:c r="X36" s="1196"/>
    </x:row>
    <x:row r="37">
      <x:c r="A37" s="166" t="str">
        <x:v>Investment return on locked contributions</x:v>
      </x:c>
      <x:c r="B37" s="584" t="n">
        <x:f>IF(B23=0,0,B28/B23)</x:f>
        <x:v>0.04043120278023845</x:v>
      </x:c>
      <x:c r="C37" s="584" t="n">
        <x:f>IF(C23=0,0,C28/C23)</x:f>
        <x:v>0.09554614214147948</x:v>
      </x:c>
      <x:c r="D37" s="584" t="n">
        <x:f>IF(D23=0,0,D28/D23)</x:f>
        <x:v>0.1524522363329405</x:v>
      </x:c>
      <x:c r="E37" s="584" t="n">
        <x:f>IF(E23=0,0,E28/E23)</x:f>
        <x:v>0.09554614214147926</x:v>
      </x:c>
      <x:c r="F37" s="583" t="str">
        <x:v>%</x:v>
      </x:c>
      <x:c r="G37" s="26"/>
      <x:c r="H37" s="26"/>
      <x:c r="I37" s="26"/>
      <x:c r="J37" s="26"/>
      <x:c r="K37" s="26"/>
      <x:c r="L37" s="26"/>
      <x:c r="M37" s="26"/>
      <x:c r="U37" s="1196"/>
      <x:c r="V37" s="1196"/>
      <x:c r="W37" s="1196"/>
      <x:c r="X37" s="1196"/>
    </x:row>
    <x:row r="38">
      <x:c r="A38" s="166" t="str">
        <x:v>Direct student resources — immediate cash plus protected account</x:v>
      </x:c>
      <x:c r="B38" s="225" t="n">
        <x:f>B22+B26</x:f>
        <x:v>12115.060266507666</x:v>
      </x:c>
      <x:c r="C38" s="225" t="n">
        <x:f>C22+C26</x:f>
        <x:v>20431.574885879425</x:v>
      </x:c>
      <x:c r="D38" s="225" t="n">
        <x:f>D22+D26</x:f>
        <x:v>27120.89817779505</x:v>
      </x:c>
      <x:c r="E38" s="225" t="n">
        <x:f>E22+E26</x:f>
        <x:v>31433.19213212219</x:v>
      </x:c>
      <x:c r="F38" s="583" t="str">
        <x:v>NZD</x:v>
      </x:c>
      <x:c r="G38" s="26"/>
      <x:c r="H38" s="26"/>
      <x:c r="I38" s="26"/>
      <x:c r="J38" s="26"/>
      <x:c r="K38" s="26"/>
      <x:c r="L38" s="26"/>
      <x:c r="M38" s="26"/>
      <x:c r="U38" s="1196"/>
      <x:c r="V38" s="1196"/>
      <x:c r="W38" s="1196"/>
      <x:c r="X38" s="1196"/>
    </x:row>
    <x:row r="39">
      <x:c r="A39" s="26"/>
      <x:c r="B39" s="26"/>
      <x:c r="C39" s="26"/>
      <x:c r="D39" s="26"/>
      <x:c r="E39" s="26"/>
      <x:c r="F39" s="26"/>
      <x:c r="G39" s="26"/>
      <x:c r="H39" s="26"/>
      <x:c r="I39" s="26"/>
      <x:c r="J39" s="26"/>
      <x:c r="K39" s="26"/>
      <x:c r="L39" s="26"/>
      <x:c r="M39" s="26"/>
      <x:c r="U39" s="1196"/>
      <x:c r="V39" s="1196"/>
      <x:c r="W39" s="1196"/>
      <x:c r="X39" s="1196"/>
    </x:row>
    <x:row r="40" ht="22" customHeight="1">
      <x:c r="A40" s="587" t="str">
        <x:v>Central average participant — annual accumulation using weekly deposits</x:v>
      </x:c>
      <x:c r="B40" s="587" t="str">
        <x:v>Central average participant — annual accumulation using weekly deposits</x:v>
      </x:c>
      <x:c r="C40" s="587" t="str">
        <x:v>Central average participant — annual accumulation using weekly deposits</x:v>
      </x:c>
      <x:c r="D40" s="587" t="str">
        <x:v>Central average participant — annual accumulation using weekly deposits</x:v>
      </x:c>
      <x:c r="E40" s="587" t="str">
        <x:v>Central average participant — annual accumulation using weekly deposits</x:v>
      </x:c>
      <x:c r="F40" s="587" t="str">
        <x:v>Central average participant — annual accumulation using weekly deposits</x:v>
      </x:c>
      <x:c r="G40" s="587" t="str">
        <x:v>Central average participant — annual accumulation using weekly deposits</x:v>
      </x:c>
      <x:c r="H40" s="587" t="str">
        <x:v>Central average participant — annual accumulation using weekly deposits</x:v>
      </x:c>
      <x:c r="I40" s="587" t="str">
        <x:v>Central average participant — annual accumulation using weekly deposits</x:v>
      </x:c>
      <x:c r="J40" s="587" t="str">
        <x:v>Central average participant — annual accumulation using weekly deposits</x:v>
      </x:c>
      <x:c r="K40" s="587" t="str">
        <x:v>Central average participant — annual accumulation using weekly deposits</x:v>
      </x:c>
      <x:c r="L40" s="587" t="str">
        <x:v>Central average participant — annual accumulation using weekly deposits</x:v>
      </x:c>
      <x:c r="M40" s="587" t="str">
        <x:v>Central average participant — annual accumulation using weekly deposits</x:v>
      </x:c>
      <x:c r="U40" s="1196"/>
      <x:c r="V40" s="1196"/>
      <x:c r="W40" s="1196"/>
      <x:c r="X40" s="1196"/>
    </x:row>
    <x:row r="41" ht="28" customHeight="1">
      <x:c r="A41" s="527" t="str">
        <x:v>Year</x:v>
      </x:c>
      <x:c r="B41" s="527" t="str">
        <x:v>Opening balance</x:v>
      </x:c>
      <x:c r="C41" s="527" t="str">
        <x:v>Annual contribution</x:v>
      </x:c>
      <x:c r="D41" s="527" t="str">
        <x:v>Gross return</x:v>
      </x:c>
      <x:c r="E41" s="527" t="str">
        <x:v>Fee drag</x:v>
      </x:c>
      <x:c r="F41" s="527" t="str">
        <x:v>Tax drag</x:v>
      </x:c>
      <x:c r="G41" s="527" t="str">
        <x:v>Net investment earnings</x:v>
      </x:c>
      <x:c r="H41" s="527" t="str">
        <x:v>Closing balance</x:v>
      </x:c>
      <x:c r="I41" s="527" t="str">
        <x:v>Lifecycle net return</x:v>
      </x:c>
      <x:c r="J41" s="26"/>
      <x:c r="K41" s="26"/>
      <x:c r="L41" s="26"/>
      <x:c r="M41" s="26"/>
      <x:c r="U41" s="1196"/>
      <x:c r="V41" s="1196"/>
      <x:c r="W41" s="1196"/>
      <x:c r="X41" s="1196"/>
    </x:row>
    <x:row r="42">
      <x:c r="A42" s="26" t="n">
        <x:v>1</x:v>
      </x:c>
      <x:c r="B42" s="225" t="n">
        <x:f>0</x:f>
        <x:v>0</x:v>
      </x:c>
      <x:c r="C42" s="225" t="n">
        <x:f>$C$12</x:f>
        <x:v>1950</x:v>
      </x:c>
      <x:c r="D42" s="225" t="n">
        <x:f>(B42*(1+$C$15)+(C42/$C$6)*IF(ABS(((1+$C$15)^(1/52)-1))&lt;0.0000001,$C$6,(((1+((1+$C$15)^(1/52)-1))^$C$6-1)/((1+$C$15)^(1/52)-1))*(1+((1+$C$15)^(1/52)-1))^(52-$C$6)))-B42-C42</x:f>
        <x:v>61.51879496281367</x:v>
      </x:c>
      <x:c r="E42" s="225" t="n">
        <x:f>(B42*(1+$C$15)+(C42/$C$6)*IF(ABS(((1+$C$15)^(1/52)-1))&lt;0.0000001,$C$6,(((1+((1+$C$15)^(1/52)-1))^$C$6-1)/((1+$C$15)^(1/52)-1))*(1+((1+$C$15)^(1/52)-1))^(52-$C$6)))-(B42*(1+($C$15-$C$16))+(C42/$C$6)*IF(ABS(((1+($C$15-$C$16))^(1/52)-1))&lt;0.0000001,$C$6,(((1+((1+($C$15-$C$16))^(1/52)-1))^$C$6-1)/((1+($C$15-$C$16))^(1/52)-1))*(1+((1+($C$15-$C$16))^(1/52)-1))^(52-$C$6)))</x:f>
        <x:v>5.817070001123511</x:v>
      </x:c>
      <x:c r="F42" s="225" t="n">
        <x:f>(B42*(1+($C$15-$C$16))+(C42/$C$6)*IF(ABS(((1+($C$15-$C$16))^(1/52)-1))&lt;0.0000001,$C$6,(((1+((1+($C$15-$C$16))^(1/52)-1))^$C$6-1)/((1+($C$15-$C$16))^(1/52)-1))*(1+((1+($C$15-$C$16))^(1/52)-1))^(52-$C$6)))-(B42*(1+$C$18)+(C42/$C$6)*IF(ABS(((1+$C$18)^(1/52)-1))&lt;0.0000001,$C$6,(((1+((1+$C$18)^(1/52)-1))^$C$6-1)/((1+$C$18)^(1/52)-1))*(1+((1+$C$18)^(1/52)-1))^(52-$C$6)))</x:f>
        <x:v>8.741822247771552</x:v>
      </x:c>
      <x:c r="G42" s="225" t="n">
        <x:f>(B42*(1+$C$18)+(C42/$C$6)*IF(ABS(((1+$C$18)^(1/52)-1))&lt;0.0000001,$C$6,(((1+((1+$C$18)^(1/52)-1))^$C$6-1)/((1+$C$18)^(1/52)-1))*(1+((1+$C$18)^(1/52)-1))^(52-$C$6)))-B42-C42</x:f>
        <x:v>46.95990271391861</x:v>
      </x:c>
      <x:c r="H42" s="225" t="n">
        <x:f>(B42*(1+$C$18)+(C42/$C$6)*IF(ABS(((1+$C$18)^(1/52)-1))&lt;0.0000001,$C$6,(((1+((1+$C$18)^(1/52)-1))^$C$6-1)/((1+$C$18)^(1/52)-1))*(1+((1+$C$18)^(1/52)-1))^(52-$C$6)))</x:f>
        <x:v>1996.9599027139186</x:v>
      </x:c>
      <x:c r="I42" s="584" t="n">
        <x:f>$C$18</x:f>
        <x:v>0.04</x:v>
      </x:c>
      <x:c r="J42" s="26"/>
      <x:c r="K42" s="26"/>
      <x:c r="L42" s="26"/>
      <x:c r="M42" s="26"/>
      <x:c r="U42" s="1196"/>
      <x:c r="V42" s="1196"/>
      <x:c r="W42" s="1196"/>
      <x:c r="X42" s="1196"/>
    </x:row>
    <x:row r="43">
      <x:c r="A43" s="26" t="n">
        <x:v>2</x:v>
      </x:c>
      <x:c r="B43" s="225" t="n">
        <x:f>H42</x:f>
        <x:v>1996.9599027139186</x:v>
      </x:c>
      <x:c r="C43" s="225" t="n">
        <x:f>$C$12</x:f>
        <x:v>1950</x:v>
      </x:c>
      <x:c r="D43" s="225" t="n">
        <x:f>(B43*(1+$C$15)+(C43/$C$6)*IF(ABS(((1+$C$15)^(1/52)-1))&lt;0.0000001,$C$6,(((1+((1+$C$15)^(1/52)-1))^$C$6-1)/((1+$C$15)^(1/52)-1))*(1+((1+$C$15)^(1/52)-1))^(52-$C$6)))-B43-C43</x:f>
        <x:v>166.35918985529497</x:v>
      </x:c>
      <x:c r="E43" s="225" t="n">
        <x:f>(B43*(1+$C$15)+(C43/$C$6)*IF(ABS(((1+$C$15)^(1/52)-1))&lt;0.0000001,$C$6,(((1+((1+$C$15)^(1/52)-1))^$C$6-1)/((1+$C$15)^(1/52)-1))*(1+((1+$C$15)^(1/52)-1))^(52-$C$6)))-(B43*(1+($C$15-$C$16))+(C43/$C$6)*IF(ABS(((1+($C$15-$C$16))^(1/52)-1))&lt;0.0000001,$C$6,(((1+((1+($C$15-$C$16))^(1/52)-1))^$C$6-1)/((1+($C$15-$C$16))^(1/52)-1))*(1+((1+($C$15-$C$16))^(1/52)-1))^(52-$C$6)))</x:f>
        <x:v>15.801869514693863</x:v>
      </x:c>
      <x:c r="F43" s="225" t="n">
        <x:f>(B43*(1+($C$15-$C$16))+(C43/$C$6)*IF(ABS(((1+($C$15-$C$16))^(1/52)-1))&lt;0.0000001,$C$6,(((1+((1+($C$15-$C$16))^(1/52)-1))^$C$6-1)/((1+($C$15-$C$16))^(1/52)-1))*(1+((1+($C$15-$C$16))^(1/52)-1))^(52-$C$6)))-(B43*(1+$C$18)+(C43/$C$6)*IF(ABS(((1+$C$18)^(1/52)-1))&lt;0.0000001,$C$6,(((1+((1+$C$18)^(1/52)-1))^$C$6-1)/((1+$C$18)^(1/52)-1))*(1+((1+$C$18)^(1/52)-1))^(52-$C$6)))</x:f>
        <x:v>23.719021518125373</x:v>
      </x:c>
      <x:c r="G43" s="225" t="n">
        <x:f>(B43*(1+$C$18)+(C43/$C$6)*IF(ABS(((1+$C$18)^(1/52)-1))&lt;0.0000001,$C$6,(((1+((1+$C$18)^(1/52)-1))^$C$6-1)/((1+$C$18)^(1/52)-1))*(1+((1+$C$18)^(1/52)-1))^(52-$C$6)))-B43-C43</x:f>
        <x:v>126.83829882247574</x:v>
      </x:c>
      <x:c r="H43" s="225" t="n">
        <x:f>(B43*(1+$C$18)+(C43/$C$6)*IF(ABS(((1+$C$18)^(1/52)-1))&lt;0.0000001,$C$6,(((1+((1+$C$18)^(1/52)-1))^$C$6-1)/((1+$C$18)^(1/52)-1))*(1+((1+$C$18)^(1/52)-1))^(52-$C$6)))</x:f>
        <x:v>4073.798201536394</x:v>
      </x:c>
      <x:c r="I43" s="584" t="n">
        <x:f>$C$18</x:f>
        <x:v>0.04</x:v>
      </x:c>
      <x:c r="J43" s="26"/>
      <x:c r="K43" s="26"/>
      <x:c r="L43" s="26"/>
      <x:c r="M43" s="26"/>
      <x:c r="U43" s="1196"/>
      <x:c r="V43" s="1196"/>
      <x:c r="W43" s="1196"/>
      <x:c r="X43" s="1196"/>
    </x:row>
    <x:row r="44">
      <x:c r="A44" s="26" t="n">
        <x:v>3</x:v>
      </x:c>
      <x:c r="B44" s="225" t="n">
        <x:f>H43</x:f>
        <x:v>4073.798201536394</x:v>
      </x:c>
      <x:c r="C44" s="225" t="n">
        <x:f>$C$12</x:f>
        <x:v>1950</x:v>
      </x:c>
      <x:c r="D44" s="225" t="n">
        <x:f>(B44*(1+$C$15)+(C44/$C$6)*IF(ABS(((1+$C$15)^(1/52)-1))&lt;0.0000001,$C$6,(((1+((1+$C$15)^(1/52)-1))^$C$6-1)/((1+$C$15)^(1/52)-1))*(1+((1+$C$15)^(1/52)-1))^(52-$C$6)))-B44-C44</x:f>
        <x:v>275.39320054347445</x:v>
      </x:c>
      <x:c r="E44" s="225" t="n">
        <x:f>(B44*(1+$C$15)+(C44/$C$6)*IF(ABS(((1+$C$15)^(1/52)-1))&lt;0.0000001,$C$6,(((1+((1+$C$15)^(1/52)-1))^$C$6-1)/((1+$C$15)^(1/52)-1))*(1+((1+$C$15)^(1/52)-1))^(52-$C$6)))-(B44*(1+($C$15-$C$16))+(C44/$C$6)*IF(ABS(((1+($C$15-$C$16))^(1/52)-1))&lt;0.0000001,$C$6,(((1+((1+($C$15-$C$16))^(1/52)-1))^$C$6-1)/((1+($C$15-$C$16))^(1/52)-1))*(1+((1+($C$15-$C$16))^(1/52)-1))^(52-$C$6)))</x:f>
        <x:v>26.186061008805154</x:v>
      </x:c>
      <x:c r="F44" s="225" t="n">
        <x:f>(B44*(1+($C$15-$C$16))+(C44/$C$6)*IF(ABS(((1+($C$15-$C$16))^(1/52)-1))&lt;0.0000001,$C$6,(((1+((1+($C$15-$C$16))^(1/52)-1))^$C$6-1)/((1+($C$15-$C$16))^(1/52)-1))*(1+((1+($C$15-$C$16))^(1/52)-1))^(52-$C$6)))-(B44*(1+$C$18)+(C44/$C$6)*IF(ABS(((1+$C$18)^(1/52)-1))&lt;0.0000001,$C$6,(((1+((1+$C$18)^(1/52)-1))^$C$6-1)/((1+$C$18)^(1/52)-1))*(1+((1+$C$18)^(1/52)-1))^(52-$C$6)))</x:f>
        <x:v>39.29530875929504</x:v>
      </x:c>
      <x:c r="G44" s="225" t="n">
        <x:f>(B44*(1+$C$18)+(C44/$C$6)*IF(ABS(((1+$C$18)^(1/52)-1))&lt;0.0000001,$C$6,(((1+((1+$C$18)^(1/52)-1))^$C$6-1)/((1+$C$18)^(1/52)-1))*(1+((1+$C$18)^(1/52)-1))^(52-$C$6)))-B44-C44</x:f>
        <x:v>209.91183077537426</x:v>
      </x:c>
      <x:c r="H44" s="225" t="n">
        <x:f>(B44*(1+$C$18)+(C44/$C$6)*IF(ABS(((1+$C$18)^(1/52)-1))&lt;0.0000001,$C$6,(((1+((1+$C$18)^(1/52)-1))^$C$6-1)/((1+$C$18)^(1/52)-1))*(1+((1+$C$18)^(1/52)-1))^(52-$C$6)))</x:f>
        <x:v>6233.710032311768</x:v>
      </x:c>
      <x:c r="I44" s="584" t="n">
        <x:f>$C$18</x:f>
        <x:v>0.04</x:v>
      </x:c>
      <x:c r="J44" s="26"/>
      <x:c r="K44" s="26"/>
      <x:c r="L44" s="26"/>
      <x:c r="M44" s="26"/>
      <x:c r="U44" s="1196"/>
      <x:c r="V44" s="1196"/>
      <x:c r="W44" s="1196"/>
      <x:c r="X44" s="1196"/>
    </x:row>
    <x:row r="45">
      <x:c r="A45" s="26" t="n">
        <x:v>4</x:v>
      </x:c>
      <x:c r="B45" s="225" t="n">
        <x:f>H44</x:f>
        <x:v>6233.710032311768</x:v>
      </x:c>
      <x:c r="C45" s="225" t="n">
        <x:f>$C$12</x:f>
        <x:v>1950</x:v>
      </x:c>
      <x:c r="D45" s="225" t="n">
        <x:f>(B45*(1+MAX($C$15-Assumptions!$E$61,-0.99))+(C45/$C$6)*IF(ABS(((1+MAX($C$15-Assumptions!$E$61,-0.99))^(1/52)-1))&lt;0.0000001,$C$6,(((1+((1+MAX($C$15-Assumptions!$E$61,-0.99))^(1/52)-1))^$C$6-1)/((1+MAX($C$15-Assumptions!$E$61,-0.99))^(1/52)-1))*(1+((1+MAX($C$15-Assumptions!$E$61,-0.99))^(1/52)-1))^(52-$C$6)))-B45-C45</x:f>
        <x:v>351.8029514965001</x:v>
      </x:c>
      <x:c r="E45" s="225" t="n">
        <x:f>(B45*(1+MAX($C$15-Assumptions!$E$61,-0.99))+(C45/$C$6)*IF(ABS(((1+MAX($C$15-Assumptions!$E$61,-0.99))^(1/52)-1))&lt;0.0000001,$C$6,(((1+((1+MAX($C$15-Assumptions!$E$61,-0.99))^(1/52)-1))^$C$6-1)/((1+MAX($C$15-Assumptions!$E$61,-0.99))^(1/52)-1))*(1+((1+MAX($C$15-Assumptions!$E$61,-0.99))^(1/52)-1))^(52-$C$6)))-(B45*(1+MAX(($C$15-$C$16)-Assumptions!$E$61,-0.99))+(C45/$C$6)*IF(ABS(((1+MAX(($C$15-$C$16)-Assumptions!$E$61,-0.99))^(1/52)-1))&lt;0.0000001,$C$6,(((1+((1+MAX(($C$15-$C$16)-Assumptions!$E$61,-0.99))^(1/52)-1))^$C$6-1)/((1+MAX(($C$15-$C$16)-Assumptions!$E$61,-0.99))^(1/52)-1))*(1+((1+MAX(($C$15-$C$16)-Assumptions!$E$61,-0.99))^(1/52)-1))^(52-$C$6)))</x:f>
        <x:v>36.99425936751322</x:v>
      </x:c>
      <x:c r="F45" s="225" t="n">
        <x:f>(B45*(1+MAX(($C$15-$C$16)-Assumptions!$E$61,-0.99))+(C45/$C$6)*IF(ABS(((1+MAX(($C$15-$C$16)-Assumptions!$E$61,-0.99))^(1/52)-1))&lt;0.0000001,$C$6,(((1+((1+MAX(($C$15-$C$16)-Assumptions!$E$61,-0.99))^(1/52)-1))^$C$6-1)/((1+MAX(($C$15-$C$16)-Assumptions!$E$61,-0.99))^(1/52)-1))*(1+((1+MAX(($C$15-$C$16)-Assumptions!$E$61,-0.99))^(1/52)-1))^(52-$C$6)))-(B45*(1+MAX($C$18-Assumptions!$E$61,-0.99))+(C45/$C$6)*IF(ABS(((1+MAX($C$18-Assumptions!$E$61,-0.99))^(1/52)-1))&lt;0.0000001,$C$6,(((1+((1+MAX($C$18-Assumptions!$E$61,-0.99))^(1/52)-1))^$C$6-1)/((1+MAX($C$18-Assumptions!$E$61,-0.99))^(1/52)-1))*(1+((1+MAX($C$18-Assumptions!$E$61,-0.99))^(1/52)-1))^(52-$C$6)))</x:f>
        <x:v>55.50771911043739</x:v>
      </x:c>
      <x:c r="G45" s="225" t="n">
        <x:f>(B45*(1+MAX($C$18-Assumptions!$E$61,-0.99))+(C45/$C$6)*IF(ABS(((1+MAX($C$18-Assumptions!$E$61,-0.99))^(1/52)-1))&lt;0.0000001,$C$6,(((1+((1+MAX($C$18-Assumptions!$E$61,-0.99))^(1/52)-1))^$C$6-1)/((1+MAX($C$18-Assumptions!$E$61,-0.99))^(1/52)-1))*(1+((1+MAX($C$18-Assumptions!$E$61,-0.99))^(1/52)-1))^(52-$C$6)))-B45-C45</x:f>
        <x:v>259.3009730185495</x:v>
      </x:c>
      <x:c r="H45" s="225" t="n">
        <x:f>(B45*(1+MAX($C$18-Assumptions!$E$61,-0.99))+(C45/$C$6)*IF(ABS(((1+MAX($C$18-Assumptions!$E$61,-0.99))^(1/52)-1))&lt;0.0000001,$C$6,(((1+((1+MAX($C$18-Assumptions!$E$61,-0.99))^(1/52)-1))^$C$6-1)/((1+MAX($C$18-Assumptions!$E$61,-0.99))^(1/52)-1))*(1+((1+MAX($C$18-Assumptions!$E$61,-0.99))^(1/52)-1))^(52-$C$6)))</x:f>
        <x:v>8443.011005330318</x:v>
      </x:c>
      <x:c r="I45" s="584" t="n">
        <x:f>MAX($C$18-Assumptions!$E$61,-0.99)</x:f>
        <x:v>0.035</x:v>
      </x:c>
      <x:c r="J45" s="26"/>
      <x:c r="K45" s="26"/>
      <x:c r="L45" s="26"/>
      <x:c r="M45" s="26"/>
      <x:c r="U45" s="1196"/>
      <x:c r="V45" s="1196"/>
      <x:c r="W45" s="1196"/>
      <x:c r="X45" s="1196"/>
    </x:row>
    <x:row r="46">
      <x:c r="A46" s="26" t="n">
        <x:v>5</x:v>
      </x:c>
      <x:c r="B46" s="225" t="n">
        <x:f>H45</x:f>
        <x:v>8443.011005330318</x:v>
      </x:c>
      <x:c r="C46" s="225" t="n">
        <x:f>$C$12</x:f>
        <x:v>1950</x:v>
      </x:c>
      <x:c r="D46" s="225" t="n">
        <x:f>(B46*(1+MAX($C$15-Assumptions!$E$62,-0.99))+(C46/$C$6)*IF(ABS(((1+MAX($C$15-Assumptions!$E$62,-0.99))^(1/52)-1))&lt;0.0000001,$C$6,(((1+((1+MAX($C$15-Assumptions!$E$62,-0.99))^(1/52)-1))^$C$6-1)/((1+MAX($C$15-Assumptions!$E$62,-0.99))^(1/52)-1))*(1+((1+MAX($C$15-Assumptions!$E$62,-0.99))^(1/52)-1))^(52-$C$6)))-B46-C46</x:f>
        <x:v>408.70398348227536</x:v>
      </x:c>
      <x:c r="E46" s="225" t="n">
        <x:f>(B46*(1+MAX($C$15-Assumptions!$E$62,-0.99))+(C46/$C$6)*IF(ABS(((1+MAX($C$15-Assumptions!$E$62,-0.99))^(1/52)-1))&lt;0.0000001,$C$6,(((1+((1+MAX($C$15-Assumptions!$E$62,-0.99))^(1/52)-1))^$C$6-1)/((1+MAX($C$15-Assumptions!$E$62,-0.99))^(1/52)-1))*(1+((1+MAX($C$15-Assumptions!$E$62,-0.99))^(1/52)-1))^(52-$C$6)))-(B46*(1+MAX(($C$15-$C$16)-Assumptions!$E$62,-0.99))+(C46/$C$6)*IF(ABS(((1+MAX(($C$15-$C$16)-Assumptions!$E$62,-0.99))^(1/52)-1))&lt;0.0000001,$C$6,(((1+((1+MAX(($C$15-$C$16)-Assumptions!$E$62,-0.99))^(1/52)-1))^$C$6-1)/((1+MAX(($C$15-$C$16)-Assumptions!$E$62,-0.99))^(1/52)-1))*(1+((1+MAX(($C$15-$C$16)-Assumptions!$E$62,-0.99))^(1/52)-1))^(52-$C$6)))</x:f>
        <x:v>48.049463485245724</x:v>
      </x:c>
      <x:c r="F46" s="225" t="n">
        <x:f>(B46*(1+MAX(($C$15-$C$16)-Assumptions!$E$62,-0.99))+(C46/$C$6)*IF(ABS(((1+MAX(($C$15-$C$16)-Assumptions!$E$62,-0.99))^(1/52)-1))&lt;0.0000001,$C$6,(((1+((1+MAX(($C$15-$C$16)-Assumptions!$E$62,-0.99))^(1/52)-1))^$C$6-1)/((1+MAX(($C$15-$C$16)-Assumptions!$E$62,-0.99))^(1/52)-1))*(1+((1+MAX(($C$15-$C$16)-Assumptions!$E$62,-0.99))^(1/52)-1))^(52-$C$6)))-(B46*(1+MAX($C$18-Assumptions!$E$62,-0.99))+(C46/$C$6)*IF(ABS(((1+MAX($C$18-Assumptions!$E$62,-0.99))^(1/52)-1))&lt;0.0000001,$C$6,(((1+((1+MAX($C$18-Assumptions!$E$62,-0.99))^(1/52)-1))^$C$6-1)/((1+MAX($C$18-Assumptions!$E$62,-0.99))^(1/52)-1))*(1+((1+MAX($C$18-Assumptions!$E$62,-0.99))^(1/52)-1))^(52-$C$6)))</x:f>
        <x:v>72.09063944792251</x:v>
      </x:c>
      <x:c r="G46" s="225" t="n">
        <x:f>(B46*(1+MAX($C$18-Assumptions!$E$62,-0.99))+(C46/$C$6)*IF(ABS(((1+MAX($C$18-Assumptions!$E$62,-0.99))^(1/52)-1))&lt;0.0000001,$C$6,(((1+((1+MAX($C$18-Assumptions!$E$62,-0.99))^(1/52)-1))^$C$6-1)/((1+MAX($C$18-Assumptions!$E$62,-0.99))^(1/52)-1))*(1+((1+MAX($C$18-Assumptions!$E$62,-0.99))^(1/52)-1))^(52-$C$6)))-B46-C46</x:f>
        <x:v>288.5638805491071</x:v>
      </x:c>
      <x:c r="H46" s="225" t="n">
        <x:f>(B46*(1+MAX($C$18-Assumptions!$E$62,-0.99))+(C46/$C$6)*IF(ABS(((1+MAX($C$18-Assumptions!$E$62,-0.99))^(1/52)-1))&lt;0.0000001,$C$6,(((1+((1+MAX($C$18-Assumptions!$E$62,-0.99))^(1/52)-1))^$C$6-1)/((1+MAX($C$18-Assumptions!$E$62,-0.99))^(1/52)-1))*(1+((1+MAX($C$18-Assumptions!$E$62,-0.99))^(1/52)-1))^(52-$C$6)))</x:f>
        <x:v>10681.574885879425</x:v>
      </x:c>
      <x:c r="I46" s="584" t="n">
        <x:f>MAX($C$18-Assumptions!$E$62,-0.99)</x:f>
        <x:v>0.03</x:v>
      </x:c>
      <x:c r="J46" s="26"/>
      <x:c r="K46" s="26"/>
      <x:c r="L46" s="26"/>
      <x:c r="M46" s="26"/>
      <x:c r="U46" s="1196"/>
      <x:c r="V46" s="1196"/>
      <x:c r="W46" s="1196"/>
      <x:c r="X46" s="1196"/>
    </x:row>
    <x:row r="47">
      <x:c r="A47" s="559" t="str">
        <x:v>Central closing balance reconciliation</x:v>
      </x:c>
      <x:c r="B47" s="559"/>
      <x:c r="C47" s="559"/>
      <x:c r="D47" s="559"/>
      <x:c r="E47" s="559"/>
      <x:c r="F47" s="559"/>
      <x:c r="G47" s="559"/>
      <x:c r="H47" s="560" t="n">
        <x:f>H46</x:f>
        <x:v>10681.574885879425</x:v>
      </x:c>
      <x:c r="I47" s="559"/>
      <x:c r="J47" s="26"/>
      <x:c r="K47" s="26"/>
      <x:c r="L47" s="26"/>
      <x:c r="M47" s="26"/>
      <x:c r="U47" s="1196"/>
      <x:c r="V47" s="1196"/>
      <x:c r="W47" s="1196"/>
      <x:c r="X47" s="1196"/>
    </x:row>
    <x:row r="48">
      <x:c r="A48" s="26"/>
      <x:c r="B48" s="26"/>
      <x:c r="C48" s="26"/>
      <x:c r="D48" s="26"/>
      <x:c r="E48" s="26"/>
      <x:c r="F48" s="26"/>
      <x:c r="G48" s="26"/>
      <x:c r="H48" s="26"/>
      <x:c r="I48" s="26"/>
      <x:c r="J48" s="26"/>
      <x:c r="K48" s="26"/>
      <x:c r="L48" s="26"/>
      <x:c r="M48" s="26"/>
      <x:c r="U48" s="1196"/>
      <x:c r="V48" s="1196"/>
      <x:c r="W48" s="1196"/>
      <x:c r="X48" s="1196"/>
    </x:row>
    <x:row r="49" ht="22" customHeight="1">
      <x:c r="A49" s="587" t="str">
        <x:v>Investment sensitivity — returns are uncertain</x:v>
      </x:c>
      <x:c r="B49" s="587" t="str">
        <x:v>Investment sensitivity — returns are uncertain</x:v>
      </x:c>
      <x:c r="C49" s="587" t="str">
        <x:v>Investment sensitivity — returns are uncertain</x:v>
      </x:c>
      <x:c r="D49" s="587" t="str">
        <x:v>Investment sensitivity — returns are uncertain</x:v>
      </x:c>
      <x:c r="E49" s="587" t="str">
        <x:v>Investment sensitivity — returns are uncertain</x:v>
      </x:c>
      <x:c r="F49" s="587" t="str">
        <x:v>Investment sensitivity — returns are uncertain</x:v>
      </x:c>
      <x:c r="G49" s="587" t="str">
        <x:v>Investment sensitivity — returns are uncertain</x:v>
      </x:c>
      <x:c r="H49" s="587" t="str">
        <x:v>Investment sensitivity — returns are uncertain</x:v>
      </x:c>
      <x:c r="I49" s="587" t="str">
        <x:v>Investment sensitivity — returns are uncertain</x:v>
      </x:c>
      <x:c r="J49" s="587" t="str">
        <x:v>Investment sensitivity — returns are uncertain</x:v>
      </x:c>
      <x:c r="K49" s="587" t="str">
        <x:v>Investment sensitivity — returns are uncertain</x:v>
      </x:c>
      <x:c r="L49" s="587" t="str">
        <x:v>Investment sensitivity — returns are uncertain</x:v>
      </x:c>
      <x:c r="M49" s="587" t="str">
        <x:v>Investment sensitivity — returns are uncertain</x:v>
      </x:c>
      <x:c r="U49" s="1196"/>
      <x:c r="V49" s="1196"/>
      <x:c r="W49" s="1196"/>
      <x:c r="X49" s="1196"/>
    </x:row>
    <x:row r="50" ht="28" customHeight="1">
      <x:c r="A50" s="803" t="str">
        <x:v>Sensitivity</x:v>
      </x:c>
      <x:c r="B50" s="803" t="str">
        <x:v>Annual net return pattern</x:v>
      </x:c>
      <x:c r="C50" s="803" t="str">
        <x:v>Closing balance</x:v>
      </x:c>
      <x:c r="D50" s="803" t="str">
        <x:v>Net investment earnings</x:v>
      </x:c>
      <x:c r="E50" s="803" t="str">
        <x:v>Real balance</x:v>
      </x:c>
      <x:c r="F50" s="803" t="str">
        <x:v>Interpretation</x:v>
      </x:c>
      <x:c r="G50" s="803" t="str">
        <x:v>Net-return input</x:v>
      </x:c>
      <x:c r="H50" s="26"/>
      <x:c r="I50" s="26"/>
      <x:c r="J50" s="26"/>
      <x:c r="K50" s="26"/>
      <x:c r="L50" s="26"/>
      <x:c r="M50" s="26"/>
      <x:c r="U50" s="1196"/>
      <x:c r="V50" s="1196"/>
      <x:c r="W50" s="1196"/>
      <x:c r="X50" s="1196"/>
    </x:row>
    <x:row r="51">
      <x:c r="A51" s="26" t="str">
        <x:v>Zero return</x:v>
      </x:c>
      <x:c r="B51" s="26" t="str">
        <x:v>0% in all five years</x:v>
      </x:c>
      <x:c r="C51" s="225" t="n">
        <x:f>(((((0*(1+($G$51))+($C$12/$C$6)*IF(ABS(((1+($G$51))^(1/52)-1))&lt;0.0000001,$C$6,(((1+((1+($G$51))^(1/52)-1))^$C$6-1)/((1+($G$51))^(1/52)-1))*(1+((1+($G$51))^(1/52)-1))^(52-$C$6)))*(1+($G$51))+($C$12/$C$6)*IF(ABS(((1+($G$51))^(1/52)-1))&lt;0.0000001,$C$6,(((1+((1+($G$51))^(1/52)-1))^$C$6-1)/((1+($G$51))^(1/52)-1))*(1+((1+($G$51))^(1/52)-1))^(52-$C$6)))*(1+($G$51))+($C$12/$C$6)*IF(ABS(((1+($G$51))^(1/52)-1))&lt;0.0000001,$C$6,(((1+((1+($G$51))^(1/52)-1))^$C$6-1)/((1+($G$51))^(1/52)-1))*(1+((1+($G$51))^(1/52)-1))^(52-$C$6)))*(1+($G$51))+($C$12/$C$6)*IF(ABS(((1+($G$51))^(1/52)-1))&lt;0.0000001,$C$6,(((1+((1+($G$51))^(1/52)-1))^$C$6-1)/((1+($G$51))^(1/52)-1))*(1+((1+($G$51))^(1/52)-1))^(52-$C$6)))*(1+($G$51))+($C$12/$C$6)*IF(ABS(((1+($G$51))^(1/52)-1))&lt;0.0000001,$C$6,(((1+((1+($G$51))^(1/52)-1))^$C$6-1)/((1+($G$51))^(1/52)-1))*(1+((1+($G$51))^(1/52)-1))^(52-$C$6)))</x:f>
        <x:v>9750</x:v>
      </x:c>
      <x:c r="D51" s="225" t="n">
        <x:f>C51-$C$14</x:f>
        <x:v>0</x:v>
      </x:c>
      <x:c r="E51" s="225" t="n">
        <x:f>C51/PRODUCT(1+Assumptions!$E$94:Assumptions!$E$98)</x:f>
        <x:v>8726.139420615338</x:v>
      </x:c>
      <x:c r="F51" s="26" t="str">
        <x:v>No investment return</x:v>
      </x:c>
      <x:c r="G51" s="199" t="n">
        <x:v>0</x:v>
      </x:c>
      <x:c r="H51" s="26"/>
      <x:c r="I51" s="26"/>
      <x:c r="J51" s="26"/>
      <x:c r="K51" s="26"/>
      <x:c r="L51" s="26"/>
      <x:c r="M51" s="26"/>
      <x:c r="U51" s="1196"/>
      <x:c r="V51" s="1196"/>
      <x:c r="W51" s="1196"/>
      <x:c r="X51" s="1196"/>
    </x:row>
    <x:row r="52">
      <x:c r="A52" s="26" t="str">
        <x:v>Low return</x:v>
      </x:c>
      <x:c r="B52" s="26" t="str">
        <x:v>2% in all five years</x:v>
      </x:c>
      <x:c r="C52" s="225" t="n">
        <x:f>(((((0*(1+($G$52))+($C$12/$C$6)*IF(ABS(((1+($G$52))^(1/52)-1))&lt;0.0000001,$C$6,(((1+((1+($G$52))^(1/52)-1))^$C$6-1)/((1+($G$52))^(1/52)-1))*(1+((1+($G$52))^(1/52)-1))^(52-$C$6)))*(1+($G$52))+($C$12/$C$6)*IF(ABS(((1+($G$52))^(1/52)-1))&lt;0.0000001,$C$6,(((1+((1+($G$52))^(1/52)-1))^$C$6-1)/((1+($G$52))^(1/52)-1))*(1+((1+($G$52))^(1/52)-1))^(52-$C$6)))*(1+($G$52))+($C$12/$C$6)*IF(ABS(((1+($G$52))^(1/52)-1))&lt;0.0000001,$C$6,(((1+((1+($G$52))^(1/52)-1))^$C$6-1)/((1+($G$52))^(1/52)-1))*(1+((1+($G$52))^(1/52)-1))^(52-$C$6)))*(1+($G$52))+($C$12/$C$6)*IF(ABS(((1+($G$52))^(1/52)-1))&lt;0.0000001,$C$6,(((1+((1+($G$52))^(1/52)-1))^$C$6-1)/((1+($G$52))^(1/52)-1))*(1+((1+($G$52))^(1/52)-1))^(52-$C$6)))*(1+($G$52))+($C$12/$C$6)*IF(ABS(((1+($G$52))^(1/52)-1))&lt;0.0000001,$C$6,(((1+((1+($G$52))^(1/52)-1))^$C$6-1)/((1+($G$52))^(1/52)-1))*(1+((1+($G$52))^(1/52)-1))^(52-$C$6)))</x:f>
        <x:v>10270.442758332782</x:v>
      </x:c>
      <x:c r="D52" s="225" t="n">
        <x:f>C52-$C$14</x:f>
        <x:v>520.4427583327815</x:v>
      </x:c>
      <x:c r="E52" s="225" t="n">
        <x:f>C52/PRODUCT(1+Assumptions!$E$94:Assumptions!$E$98)</x:f>
        <x:v>9191.929786734463</x:v>
      </x:c>
      <x:c r="F52" s="26" t="str">
        <x:v>Transparent low net-return assumption</x:v>
      </x:c>
      <x:c r="G52" s="199" t="n">
        <x:v>0.02</x:v>
      </x:c>
      <x:c r="H52" s="26"/>
      <x:c r="I52" s="26"/>
      <x:c r="J52" s="26"/>
      <x:c r="K52" s="26"/>
      <x:c r="L52" s="26"/>
      <x:c r="M52" s="26"/>
      <x:c r="U52" s="1196"/>
      <x:c r="V52" s="1196"/>
      <x:c r="W52" s="1196"/>
      <x:c r="X52" s="1196"/>
    </x:row>
    <x:row r="53">
      <x:c r="A53" s="26" t="str">
        <x:v>Central return</x:v>
      </x:c>
      <x:c r="B53" s="26" t="str">
        <x:v>4% in all five years</x:v>
      </x:c>
      <x:c r="C53" s="225" t="n">
        <x:f>(((((0*(1+($G$53))+($C$12/$C$6)*IF(ABS(((1+($G$53))^(1/52)-1))&lt;0.0000001,$C$6,(((1+((1+($G$53))^(1/52)-1))^$C$6-1)/((1+($G$53))^(1/52)-1))*(1+((1+($G$53))^(1/52)-1))^(52-$C$6)))*(1+($G$53))+($C$12/$C$6)*IF(ABS(((1+($G$53))^(1/52)-1))&lt;0.0000001,$C$6,(((1+((1+($G$53))^(1/52)-1))^$C$6-1)/((1+($G$53))^(1/52)-1))*(1+((1+($G$53))^(1/52)-1))^(52-$C$6)))*(1+($G$53))+($C$12/$C$6)*IF(ABS(((1+($G$53))^(1/52)-1))&lt;0.0000001,$C$6,(((1+((1+($G$53))^(1/52)-1))^$C$6-1)/((1+($G$53))^(1/52)-1))*(1+((1+($G$53))^(1/52)-1))^(52-$C$6)))*(1+($G$53))+($C$12/$C$6)*IF(ABS(((1+($G$53))^(1/52)-1))&lt;0.0000001,$C$6,(((1+((1+($G$53))^(1/52)-1))^$C$6-1)/((1+($G$53))^(1/52)-1))*(1+((1+($G$53))^(1/52)-1))^(52-$C$6)))*(1+($G$53))+($C$12/$C$6)*IF(ABS(((1+($G$53))^(1/52)-1))&lt;0.0000001,$C$6,(((1+((1+($G$53))^(1/52)-1))^$C$6-1)/((1+($G$53))^(1/52)-1))*(1+((1+($G$53))^(1/52)-1))^(52-$C$6)))</x:f>
        <x:v>10816.178972484804</x:v>
      </x:c>
      <x:c r="D53" s="225" t="n">
        <x:f>C53-$C$14</x:f>
        <x:v>1066.178972484804</x:v>
      </x:c>
      <x:c r="E53" s="225" t="n">
        <x:f>C53/PRODUCT(1+Assumptions!$E$94:Assumptions!$E$98)</x:f>
        <x:v>9680.357508946703</x:v>
      </x:c>
      <x:c r="F53" s="26" t="str">
        <x:v>Constant-return reference without lifecycle de-risking</x:v>
      </x:c>
      <x:c r="G53" s="199" t="n">
        <x:v>0.04</x:v>
      </x:c>
      <x:c r="H53" s="26"/>
      <x:c r="I53" s="26"/>
      <x:c r="J53" s="26"/>
      <x:c r="K53" s="26"/>
      <x:c r="L53" s="26"/>
      <x:c r="M53" s="26"/>
      <x:c r="U53" s="1196"/>
      <x:c r="V53" s="1196"/>
      <x:c r="W53" s="1196"/>
      <x:c r="X53" s="1196"/>
    </x:row>
    <x:row r="54">
      <x:c r="A54" s="26" t="str">
        <x:v>High return</x:v>
      </x:c>
      <x:c r="B54" s="26" t="str">
        <x:v>6% in all five years</x:v>
      </x:c>
      <x:c r="C54" s="225" t="n">
        <x:f>(((((0*(1+($G$54))+($C$12/$C$6)*IF(ABS(((1+($G$54))^(1/52)-1))&lt;0.0000001,$C$6,(((1+((1+($G$54))^(1/52)-1))^$C$6-1)/((1+($G$54))^(1/52)-1))*(1+((1+($G$54))^(1/52)-1))^(52-$C$6)))*(1+($G$54))+($C$12/$C$6)*IF(ABS(((1+($G$54))^(1/52)-1))&lt;0.0000001,$C$6,(((1+((1+($G$54))^(1/52)-1))^$C$6-1)/((1+($G$54))^(1/52)-1))*(1+((1+($G$54))^(1/52)-1))^(52-$C$6)))*(1+($G$54))+($C$12/$C$6)*IF(ABS(((1+($G$54))^(1/52)-1))&lt;0.0000001,$C$6,(((1+((1+($G$54))^(1/52)-1))^$C$6-1)/((1+($G$54))^(1/52)-1))*(1+((1+($G$54))^(1/52)-1))^(52-$C$6)))*(1+($G$54))+($C$12/$C$6)*IF(ABS(((1+($G$54))^(1/52)-1))&lt;0.0000001,$C$6,(((1+((1+($G$54))^(1/52)-1))^$C$6-1)/((1+($G$54))^(1/52)-1))*(1+((1+($G$54))^(1/52)-1))^(52-$C$6)))*(1+($G$54))+($C$12/$C$6)*IF(ABS(((1+($G$54))^(1/52)-1))&lt;0.0000001,$C$6,(((1+((1+($G$54))^(1/52)-1))^$C$6-1)/((1+($G$54))^(1/52)-1))*(1+((1+($G$54))^(1/52)-1))^(52-$C$6)))</x:f>
        <x:v>11388.214902722604</x:v>
      </x:c>
      <x:c r="D54" s="225" t="n">
        <x:f>C54-$C$14</x:f>
        <x:v>1638.2149027226042</x:v>
      </x:c>
      <x:c r="E54" s="225" t="n">
        <x:f>C54/PRODUCT(1+Assumptions!$E$94:Assumptions!$E$98)</x:f>
        <x:v>10192.323178778131</x:v>
      </x:c>
      <x:c r="F54" s="26" t="str">
        <x:v>Transparent high net-return assumption</x:v>
      </x:c>
      <x:c r="G54" s="199" t="n">
        <x:v>0.06</x:v>
      </x:c>
      <x:c r="H54" s="26"/>
      <x:c r="I54" s="26"/>
      <x:c r="J54" s="26"/>
      <x:c r="K54" s="26"/>
      <x:c r="L54" s="26"/>
      <x:c r="M54" s="26"/>
      <x:c r="U54" s="1196"/>
      <x:c r="V54" s="1196"/>
      <x:c r="W54" s="1196"/>
      <x:c r="X54" s="1196"/>
    </x:row>
    <x:row r="55">
      <x:c r="A55" s="26" t="str">
        <x:v>Lifecycle central</x:v>
      </x:c>
      <x:c r="B55" s="26" t="str">
        <x:v>4%, 4%, 4%, 3.5%, 3.0%</x:v>
      </x:c>
      <x:c r="C55" s="225" t="n">
        <x:f>(((((0*(1+(0.04))+($C$12/$C$6)*IF(ABS(((1+(0.04))^(1/52)-1))&lt;0.0000001,$C$6,(((1+((1+(0.04))^(1/52)-1))^$C$6-1)/((1+(0.04))^(1/52)-1))*(1+((1+(0.04))^(1/52)-1))^(52-$C$6)))*(1+(0.04))+($C$12/$C$6)*IF(ABS(((1+(0.04))^(1/52)-1))&lt;0.0000001,$C$6,(((1+((1+(0.04))^(1/52)-1))^$C$6-1)/((1+(0.04))^(1/52)-1))*(1+((1+(0.04))^(1/52)-1))^(52-$C$6)))*(1+(0.04))+($C$12/$C$6)*IF(ABS(((1+(0.04))^(1/52)-1))&lt;0.0000001,$C$6,(((1+((1+(0.04))^(1/52)-1))^$C$6-1)/((1+(0.04))^(1/52)-1))*(1+((1+(0.04))^(1/52)-1))^(52-$C$6)))*(1+(0.035))+($C$12/$C$6)*IF(ABS(((1+(0.035))^(1/52)-1))&lt;0.0000001,$C$6,(((1+((1+(0.035))^(1/52)-1))^$C$6-1)/((1+(0.035))^(1/52)-1))*(1+((1+(0.035))^(1/52)-1))^(52-$C$6)))*(1+(0.03))+($C$12/$C$6)*IF(ABS(((1+(0.03))^(1/52)-1))&lt;0.0000001,$C$6,(((1+((1+(0.03))^(1/52)-1))^$C$6-1)/((1+(0.03))^(1/52)-1))*(1+((1+(0.03))^(1/52)-1))^(52-$C$6)))</x:f>
        <x:v>10681.574885879425</x:v>
      </x:c>
      <x:c r="D55" s="225" t="n">
        <x:f>C55-$C$14</x:f>
        <x:v>931.574885879425</x:v>
      </x:c>
      <x:c r="E55" s="225" t="n">
        <x:f>C55/PRODUCT(1+Assumptions!$E$94:Assumptions!$E$98)</x:f>
        <x:v>9559.88837804382</x:v>
      </x:c>
      <x:c r="F55" s="26" t="str">
        <x:v>Expected de-risking as withdrawal approaches</x:v>
      </x:c>
      <x:c r="G55" s="26"/>
      <x:c r="H55" s="26"/>
      <x:c r="I55" s="26"/>
      <x:c r="J55" s="26"/>
      <x:c r="K55" s="26"/>
      <x:c r="L55" s="26"/>
      <x:c r="M55" s="26"/>
      <x:c r="U55" s="1196"/>
      <x:c r="V55" s="1196"/>
      <x:c r="W55" s="1196"/>
      <x:c r="X55" s="1196"/>
    </x:row>
    <x:row r="56">
      <x:c r="A56" s="591" t="str">
        <x:v>Market downturn</x:v>
      </x:c>
      <x:c r="B56" s="591" t="str">
        <x:v>4%, 4%, 4%, 4%, -10%</x:v>
      </x:c>
      <x:c r="C56" s="592" t="n">
        <x:f>(((((0*(1+(0.04))+($C$12/$C$6)*IF(ABS(((1+(0.04))^(1/52)-1))&lt;0.0000001,$C$6,(((1+((1+(0.04))^(1/52)-1))^$C$6-1)/((1+(0.04))^(1/52)-1))*(1+((1+(0.04))^(1/52)-1))^(52-$C$6)))*(1+(0.04))+($C$12/$C$6)*IF(ABS(((1+(0.04))^(1/52)-1))&lt;0.0000001,$C$6,(((1+((1+(0.04))^(1/52)-1))^$C$6-1)/((1+(0.04))^(1/52)-1))*(1+((1+(0.04))^(1/52)-1))^(52-$C$6)))*(1+(0.04))+($C$12/$C$6)*IF(ABS(((1+(0.04))^(1/52)-1))&lt;0.0000001,$C$6,(((1+((1+(0.04))^(1/52)-1))^$C$6-1)/((1+(0.04))^(1/52)-1))*(1+((1+(0.04))^(1/52)-1))^(52-$C$6)))*(1+(0.04))+($C$12/$C$6)*IF(ABS(((1+(0.04))^(1/52)-1))&lt;0.0000001,$C$6,(((1+((1+(0.04))^(1/52)-1))^$C$6-1)/((1+(0.04))^(1/52)-1))*(1+((1+(0.04))^(1/52)-1))^(52-$C$6)))*(1+(-0.10))+($C$12/$C$6)*IF(ABS(((1+(-0.10))^(1/52)-1))&lt;0.0000001,$C$6,(((1+((1+(-0.10))^(1/52)-1))^$C$6-1)/((1+(-0.10))^(1/52)-1))*(1+((1+(-0.10))^(1/52)-1))^(52-$C$6)))</x:f>
        <x:v>9461.948337315323</x:v>
      </x:c>
      <x:c r="D56" s="592" t="n">
        <x:f>C56-$C$14</x:f>
        <x:v>-288.05166268467656</x:v>
      </x:c>
      <x:c r="E56" s="592" t="n">
        <x:f>C56/PRODUCT(1+Assumptions!$E$94:Assumptions!$E$98)</x:f>
        <x:v>8468.336449443384</x:v>
      </x:c>
      <x:c r="F56" s="591" t="str">
        <x:v>Illustrates loss close to withdrawal</x:v>
      </x:c>
      <x:c r="G56" s="26"/>
      <x:c r="H56" s="26"/>
      <x:c r="I56" s="26"/>
      <x:c r="J56" s="26"/>
      <x:c r="K56" s="26"/>
      <x:c r="L56" s="26"/>
      <x:c r="M56" s="26"/>
      <x:c r="U56" s="1196"/>
      <x:c r="V56" s="1196"/>
      <x:c r="W56" s="1196"/>
      <x:c r="X56" s="1196"/>
    </x:row>
    <x:row r="57">
      <x:c r="A57" s="26"/>
      <x:c r="B57" s="26"/>
      <x:c r="C57" s="26"/>
      <x:c r="D57" s="26"/>
      <x:c r="E57" s="26"/>
      <x:c r="F57" s="26"/>
      <x:c r="G57" s="26"/>
      <x:c r="H57" s="26"/>
      <x:c r="I57" s="26"/>
      <x:c r="J57" s="26"/>
      <x:c r="K57" s="26"/>
      <x:c r="L57" s="26"/>
      <x:c r="M57" s="26"/>
      <x:c r="U57" s="1196"/>
      <x:c r="V57" s="1196"/>
      <x:c r="W57" s="1196"/>
      <x:c r="X57" s="1196"/>
    </x:row>
    <x:row r="58" ht="22" customHeight="1">
      <x:c r="A58" s="587" t="str">
        <x:v>Student Loan Cost of Capital and Real-Value Erosion</x:v>
      </x:c>
      <x:c r="B58" s="587" t="str">
        <x:v>Student Loan Cost of Capital and Real-Value Erosion</x:v>
      </x:c>
      <x:c r="C58" s="587" t="str">
        <x:v>Student Loan Cost of Capital and Real-Value Erosion</x:v>
      </x:c>
      <x:c r="D58" s="587" t="str">
        <x:v>Student Loan Cost of Capital and Real-Value Erosion</x:v>
      </x:c>
      <x:c r="E58" s="587" t="str">
        <x:v>Student Loan Cost of Capital and Real-Value Erosion</x:v>
      </x:c>
      <x:c r="F58" s="587" t="str">
        <x:v>Student Loan Cost of Capital and Real-Value Erosion</x:v>
      </x:c>
      <x:c r="G58" s="587" t="str">
        <x:v>Student Loan Cost of Capital and Real-Value Erosion</x:v>
      </x:c>
      <x:c r="H58" s="587" t="str">
        <x:v>Student Loan Cost of Capital and Real-Value Erosion</x:v>
      </x:c>
      <x:c r="I58" s="587" t="str">
        <x:v>Student Loan Cost of Capital and Real-Value Erosion</x:v>
      </x:c>
      <x:c r="J58" s="587" t="str">
        <x:v>Student Loan Cost of Capital and Real-Value Erosion</x:v>
      </x:c>
      <x:c r="K58" s="587" t="str">
        <x:v>Student Loan Cost of Capital and Real-Value Erosion</x:v>
      </x:c>
      <x:c r="L58" s="587" t="str">
        <x:v>Student Loan Cost of Capital and Real-Value Erosion</x:v>
      </x:c>
      <x:c r="M58" s="587" t="str">
        <x:v>Student Loan Cost of Capital and Real-Value Erosion</x:v>
      </x:c>
      <x:c r="U58" s="1196"/>
      <x:c r="V58" s="1196"/>
      <x:c r="W58" s="1196"/>
      <x:c r="X58" s="1196"/>
    </x:row>
    <x:row r="59">
      <x:c r="A59" s="571" t="str">
        <x:v>Interest-free student lending is interest-free to eligible borrowers, but it is not cost-free to the Crown. The economic value of repayments declines when repayment is delayed, because inflation reduces purchasing power and public capital remains committed to the loan asset. The official fair-value method is the central fiscal measure. Inflation erosion, discounting and annual cost of ownership are shown as non-additive explanatory views.</x:v>
      </x:c>
      <x:c r="B59" s="571"/>
      <x:c r="C59" s="571"/>
      <x:c r="D59" s="571"/>
      <x:c r="E59" s="571"/>
      <x:c r="F59" s="571"/>
      <x:c r="G59" s="571"/>
      <x:c r="H59" s="571"/>
      <x:c r="I59" s="571"/>
      <x:c r="J59" s="571"/>
      <x:c r="K59" s="571"/>
      <x:c r="L59" s="571"/>
      <x:c r="M59" s="571"/>
      <x:c r="U59" s="1196"/>
      <x:c r="V59" s="1196"/>
      <x:c r="W59" s="1196"/>
      <x:c r="X59" s="1196"/>
    </x:row>
    <x:row r="60">
      <x:c r="A60" s="571"/>
      <x:c r="B60" s="571"/>
      <x:c r="C60" s="571"/>
      <x:c r="D60" s="571"/>
      <x:c r="E60" s="571"/>
      <x:c r="F60" s="571"/>
      <x:c r="G60" s="571"/>
      <x:c r="H60" s="571"/>
      <x:c r="I60" s="571"/>
      <x:c r="J60" s="571"/>
      <x:c r="K60" s="571"/>
      <x:c r="L60" s="571"/>
      <x:c r="M60" s="571"/>
      <x:c r="U60" s="1196"/>
      <x:c r="V60" s="1196"/>
      <x:c r="W60" s="1196"/>
      <x:c r="X60" s="1196"/>
    </x:row>
    <x:row r="61">
      <x:c r="A61" s="571"/>
      <x:c r="B61" s="571"/>
      <x:c r="C61" s="571"/>
      <x:c r="D61" s="571"/>
      <x:c r="E61" s="571"/>
      <x:c r="F61" s="571"/>
      <x:c r="G61" s="571"/>
      <x:c r="H61" s="571"/>
      <x:c r="I61" s="571"/>
      <x:c r="J61" s="571"/>
      <x:c r="K61" s="571"/>
      <x:c r="L61" s="571"/>
      <x:c r="M61" s="571"/>
      <x:c r="U61" s="1196"/>
      <x:c r="V61" s="1196"/>
      <x:c r="W61" s="1196"/>
      <x:c r="X61" s="1196"/>
    </x:row>
    <x:row r="62">
      <x:c r="A62" s="26"/>
      <x:c r="B62" s="26"/>
      <x:c r="C62" s="26"/>
      <x:c r="D62" s="26"/>
      <x:c r="E62" s="26"/>
      <x:c r="F62" s="26"/>
      <x:c r="G62" s="26"/>
      <x:c r="H62" s="26"/>
      <x:c r="I62" s="26"/>
      <x:c r="J62" s="26"/>
      <x:c r="K62" s="26"/>
      <x:c r="L62" s="26"/>
      <x:c r="M62" s="26"/>
      <x:c r="U62" s="1196"/>
      <x:c r="V62" s="1196"/>
      <x:c r="W62" s="1196"/>
      <x:c r="X62" s="1196"/>
    </x:row>
    <x:row r="63" ht="28" customHeight="1">
      <x:c r="A63" s="527" t="str">
        <x:v>Official audited metric</x:v>
      </x:c>
      <x:c r="B63" s="527" t="str">
        <x:v>Value</x:v>
      </x:c>
      <x:c r="C63" s="527" t="str">
        <x:v>Unit</x:v>
      </x:c>
      <x:c r="D63" s="527" t="str">
        <x:v>Source ID</x:v>
      </x:c>
      <x:c r="E63" s="527" t="str">
        <x:v>Interpretation</x:v>
      </x:c>
      <x:c r="F63" s="26"/>
      <x:c r="G63" s="26"/>
      <x:c r="H63" s="26"/>
      <x:c r="I63" s="26"/>
      <x:c r="J63" s="26"/>
      <x:c r="K63" s="26"/>
      <x:c r="L63" s="26"/>
      <x:c r="M63" s="26"/>
      <x:c r="U63" s="1196"/>
      <x:c r="V63" s="1196"/>
      <x:c r="W63" s="1196"/>
      <x:c r="X63" s="1196"/>
    </x:row>
    <x:row r="64">
      <x:c r="A64" s="26" t="str">
        <x:v>Gross new student-loan lending — 2024/25</x:v>
      </x:c>
      <x:c r="B64" s="167" t="n">
        <x:f>Assumptions!$E$81</x:f>
        <x:v>1709000000</x:v>
      </x:c>
      <x:c r="C64" s="26" t="str">
        <x:v>NZD</x:v>
      </x:c>
      <x:c r="D64" s="26" t="str">
        <x:v>S24–S27</x:v>
      </x:c>
      <x:c r="E64" s="26" t="str">
        <x:v>Official fair-value cost is central; the other views explain timing and purchasing power.</x:v>
      </x:c>
      <x:c r="F64" s="26"/>
      <x:c r="G64" s="26"/>
      <x:c r="H64" s="26"/>
      <x:c r="I64" s="26"/>
      <x:c r="J64" s="26"/>
      <x:c r="K64" s="26"/>
      <x:c r="L64" s="26"/>
      <x:c r="M64" s="26"/>
      <x:c r="U64" s="1196"/>
      <x:c r="V64" s="1196"/>
      <x:c r="W64" s="1196"/>
      <x:c r="X64" s="1196"/>
    </x:row>
    <x:row r="65">
      <x:c r="A65" s="26" t="str">
        <x:v>Initial fair-value write-down — 2024/25</x:v>
      </x:c>
      <x:c r="B65" s="167" t="n">
        <x:f>Assumptions!$E$82</x:f>
        <x:v>585000000</x:v>
      </x:c>
      <x:c r="C65" s="26" t="str">
        <x:v>NZD</x:v>
      </x:c>
      <x:c r="D65" s="26" t="str">
        <x:v>S24–S27</x:v>
      </x:c>
      <x:c r="E65" s="26" t="str">
        <x:v>Official fair-value cost is central; the other views explain timing and purchasing power.</x:v>
      </x:c>
      <x:c r="F65" s="26"/>
      <x:c r="G65" s="26"/>
      <x:c r="H65" s="26"/>
      <x:c r="I65" s="26"/>
      <x:c r="J65" s="26"/>
      <x:c r="K65" s="26"/>
      <x:c r="L65" s="26"/>
      <x:c r="M65" s="26"/>
      <x:c r="U65" s="1196"/>
      <x:c r="V65" s="1196"/>
      <x:c r="W65" s="1196"/>
      <x:c r="X65" s="1196"/>
    </x:row>
    <x:row r="66">
      <x:c r="A66" s="26" t="str">
        <x:v>Lifetime cost per dollar lent</x:v>
      </x:c>
      <x:c r="B66" s="276" t="n">
        <x:f>Assumptions!$E$80</x:f>
        <x:v>0.3424</x:v>
      </x:c>
      <x:c r="C66" s="26" t="str">
        <x:v>%</x:v>
      </x:c>
      <x:c r="D66" s="26" t="str">
        <x:v>S24–S27</x:v>
      </x:c>
      <x:c r="E66" s="26" t="str">
        <x:v>Official fair-value cost is central; the other views explain timing and purchasing power.</x:v>
      </x:c>
      <x:c r="F66" s="26"/>
      <x:c r="G66" s="26"/>
      <x:c r="H66" s="26"/>
      <x:c r="I66" s="26"/>
      <x:c r="J66" s="26"/>
      <x:c r="K66" s="26"/>
      <x:c r="L66" s="26"/>
      <x:c r="M66" s="26"/>
      <x:c r="U66" s="1196"/>
      <x:c r="V66" s="1196"/>
      <x:c r="W66" s="1196"/>
      <x:c r="X66" s="1196"/>
    </x:row>
    <x:row r="67">
      <x:c r="A67" s="26" t="str">
        <x:v>Student-loan asset fair value</x:v>
      </x:c>
      <x:c r="B67" s="167" t="n">
        <x:f>Assumptions!$E$83</x:f>
        <x:v>10054000000</x:v>
      </x:c>
      <x:c r="C67" s="26" t="str">
        <x:v>NZD</x:v>
      </x:c>
      <x:c r="D67" s="26" t="str">
        <x:v>S24–S27</x:v>
      </x:c>
      <x:c r="E67" s="26" t="str">
        <x:v>Official fair-value cost is central; the other views explain timing and purchasing power.</x:v>
      </x:c>
      <x:c r="F67" s="26"/>
      <x:c r="G67" s="26"/>
      <x:c r="H67" s="26"/>
      <x:c r="I67" s="26"/>
      <x:c r="J67" s="26"/>
      <x:c r="K67" s="26"/>
      <x:c r="L67" s="26"/>
      <x:c r="M67" s="26"/>
      <x:c r="U67" s="1196"/>
      <x:c r="V67" s="1196"/>
      <x:c r="W67" s="1196"/>
      <x:c r="X67" s="1196"/>
    </x:row>
    <x:row r="68">
      <x:c r="A68" s="26" t="str">
        <x:v>Representative discount rate incl. expenses</x:v>
      </x:c>
      <x:c r="B68" s="276" t="n">
        <x:f>Assumptions!$E$84</x:f>
        <x:v>0.0567</x:v>
      </x:c>
      <x:c r="C68" s="26" t="str">
        <x:v>%</x:v>
      </x:c>
      <x:c r="D68" s="26" t="str">
        <x:v>S24–S27</x:v>
      </x:c>
      <x:c r="E68" s="26" t="str">
        <x:v>Official fair-value cost is central; the other views explain timing and purchasing power.</x:v>
      </x:c>
      <x:c r="F68" s="26"/>
      <x:c r="G68" s="26"/>
      <x:c r="H68" s="26"/>
      <x:c r="I68" s="26"/>
      <x:c r="J68" s="26"/>
      <x:c r="K68" s="26"/>
      <x:c r="L68" s="26"/>
      <x:c r="M68" s="26"/>
      <x:c r="U68" s="1196"/>
      <x:c r="V68" s="1196"/>
      <x:c r="W68" s="1196"/>
      <x:c r="X68" s="1196"/>
    </x:row>
    <x:row r="69">
      <x:c r="A69" s="26" t="str">
        <x:v>Annual Crown cost of ownership — 2025/26</x:v>
      </x:c>
      <x:c r="B69" s="167" t="n">
        <x:f>Assumptions!$E$85</x:f>
        <x:v>544000000</x:v>
      </x:c>
      <x:c r="C69" s="26" t="str">
        <x:v>NZD</x:v>
      </x:c>
      <x:c r="D69" s="26" t="str">
        <x:v>S24–S27</x:v>
      </x:c>
      <x:c r="E69" s="26" t="str">
        <x:v>Official fair-value cost is central; the other views explain timing and purchasing power.</x:v>
      </x:c>
      <x:c r="F69" s="26"/>
      <x:c r="G69" s="26"/>
      <x:c r="H69" s="26"/>
      <x:c r="I69" s="26"/>
      <x:c r="J69" s="26"/>
      <x:c r="K69" s="26"/>
      <x:c r="L69" s="26"/>
      <x:c r="M69" s="26"/>
      <x:c r="U69" s="1196"/>
      <x:c r="V69" s="1196"/>
      <x:c r="W69" s="1196"/>
      <x:c r="X69" s="1196"/>
    </x:row>
    <x:row r="70">
      <x:c r="A70" s="26" t="str">
        <x:v>Ten-year historical annualised CPI</x:v>
      </x:c>
      <x:c r="B70" s="276" t="n">
        <x:f>Assumptions!$E$90</x:f>
        <x:v>0.03181013282891576</x:v>
      </x:c>
      <x:c r="C70" s="26" t="str">
        <x:v>%</x:v>
      </x:c>
      <x:c r="D70" s="26" t="str">
        <x:v>S24–S27</x:v>
      </x:c>
      <x:c r="E70" s="26" t="str">
        <x:v>Official fair-value cost is central; the other views explain timing and purchasing power.</x:v>
      </x:c>
      <x:c r="F70" s="26"/>
      <x:c r="G70" s="26"/>
      <x:c r="H70" s="26"/>
      <x:c r="I70" s="26"/>
      <x:c r="J70" s="26"/>
      <x:c r="K70" s="26"/>
      <x:c r="L70" s="26"/>
      <x:c r="M70" s="26"/>
      <x:c r="U70" s="1196"/>
      <x:c r="V70" s="1196"/>
      <x:c r="W70" s="1196"/>
      <x:c r="X70" s="1196"/>
    </x:row>
    <x:row r="71">
      <x:c r="A71" s="26" t="str">
        <x:v>Twenty-year historical annualised CPI</x:v>
      </x:c>
      <x:c r="B71" s="276" t="n">
        <x:f>Assumptions!$E$91</x:f>
        <x:v>0.025895799436110645</x:v>
      </x:c>
      <x:c r="C71" s="26" t="str">
        <x:v>%</x:v>
      </x:c>
      <x:c r="D71" s="26" t="str">
        <x:v>S24–S27</x:v>
      </x:c>
      <x:c r="E71" s="26" t="str">
        <x:v>Official fair-value cost is central; the other views explain timing and purchasing power.</x:v>
      </x:c>
      <x:c r="F71" s="26"/>
      <x:c r="G71" s="26"/>
      <x:c r="H71" s="26"/>
      <x:c r="I71" s="26"/>
      <x:c r="J71" s="26"/>
      <x:c r="K71" s="26"/>
      <x:c r="L71" s="26"/>
      <x:c r="M71" s="26"/>
      <x:c r="U71" s="1196"/>
      <x:c r="V71" s="1196"/>
      <x:c r="W71" s="1196"/>
      <x:c r="X71" s="1196"/>
    </x:row>
    <x:row r="72">
      <x:c r="A72" s="26"/>
      <x:c r="B72" s="26"/>
      <x:c r="C72" s="26"/>
      <x:c r="D72" s="26"/>
      <x:c r="E72" s="26"/>
      <x:c r="F72" s="26"/>
      <x:c r="G72" s="26"/>
      <x:c r="H72" s="26"/>
      <x:c r="I72" s="26"/>
      <x:c r="J72" s="26"/>
      <x:c r="K72" s="26"/>
      <x:c r="L72" s="26"/>
      <x:c r="M72" s="26"/>
      <x:c r="U72" s="1196"/>
      <x:c r="V72" s="1196"/>
      <x:c r="W72" s="1196"/>
      <x:c r="X72" s="1196"/>
    </x:row>
    <x:row r="73" ht="28" customHeight="1">
      <x:c r="A73" s="527" t="str">
        <x:v>Year</x:v>
      </x:c>
      <x:c r="B73" s="527" t="str">
        <x:v>Nominal repayment</x:v>
      </x:c>
      <x:c r="C73" s="527" t="str">
        <x:v>Treasury CPI forward</x:v>
      </x:c>
      <x:c r="D73" s="527" t="str">
        <x:v>Cumulative CPI</x:v>
      </x:c>
      <x:c r="E73" s="527" t="str">
        <x:v>Real repayment value</x:v>
      </x:c>
      <x:c r="F73" s="527" t="str">
        <x:v>Risk-free forward</x:v>
      </x:c>
      <x:c r="G73" s="527" t="str">
        <x:v>Risk + expense</x:v>
      </x:c>
      <x:c r="H73" s="527" t="str">
        <x:v>Indicative discount rate</x:v>
      </x:c>
      <x:c r="I73" s="527" t="str">
        <x:v>Cumulative discount</x:v>
      </x:c>
      <x:c r="J73" s="527" t="str">
        <x:v>PV of repayment</x:v>
      </x:c>
      <x:c r="K73" s="527" t="str">
        <x:v>Non-additive view</x:v>
      </x:c>
      <x:c r="L73" s="26"/>
      <x:c r="M73" s="26"/>
      <x:c r="U73" s="1196"/>
      <x:c r="V73" s="1196"/>
      <x:c r="W73" s="1196"/>
      <x:c r="X73" s="1196"/>
    </x:row>
    <x:row r="74">
      <x:c r="A74" s="26" t="n">
        <x:v>1</x:v>
      </x:c>
      <x:c r="B74" s="167" t="n">
        <x:f>IF(A74&lt;=ROUND(Assumptions!$E$77,0),Assumptions!$E$68/ROUND(Assumptions!$E$77,0),0)</x:f>
        <x:v>2508.1428571428573</x:v>
      </x:c>
      <x:c r="C74" s="276" t="n">
        <x:f>Assumptions!$E$94</x:f>
        <x:v>0.027</x:v>
      </x:c>
      <x:c r="D74" s="593" t="n">
        <x:f>1+C74</x:f>
        <x:v>1.027</x:v>
      </x:c>
      <x:c r="E74" s="167" t="n">
        <x:f>B74/D74</x:f>
        <x:v>2442.203366254</x:v>
      </x:c>
      <x:c r="F74" s="276" t="n">
        <x:f>Assumptions!$E$109</x:f>
        <x:v>0.0297</x:v>
      </x:c>
      <x:c r="G74" s="276" t="n">
        <x:f>Assumptions!$E$86+Assumptions!$E$87</x:f>
        <x:v>0.0125</x:v>
      </x:c>
      <x:c r="H74" s="276" t="n">
        <x:f>F74+G74</x:f>
        <x:v>0.0422</x:v>
      </x:c>
      <x:c r="I74" s="593" t="n">
        <x:f>1+H74</x:f>
        <x:v>1.0422</x:v>
      </x:c>
      <x:c r="J74" s="167" t="n">
        <x:f>B74/I74</x:f>
        <x:v>2406.584971351811</x:v>
      </x:c>
      <x:c r="K74" s="26" t="str">
        <x:v>Purchasing-power and indicative DCF bridge only</x:v>
      </x:c>
      <x:c r="L74" s="26"/>
      <x:c r="M74" s="26"/>
      <x:c r="U74" s="1196"/>
      <x:c r="V74" s="1196"/>
      <x:c r="W74" s="1196"/>
      <x:c r="X74" s="1196"/>
    </x:row>
    <x:row r="75">
      <x:c r="A75" s="26" t="n">
        <x:v>2</x:v>
      </x:c>
      <x:c r="B75" s="167" t="n">
        <x:f>IF(A75&lt;=ROUND(Assumptions!$E$77,0),Assumptions!$E$68/ROUND(Assumptions!$E$77,0),0)</x:f>
        <x:v>2508.1428571428573</x:v>
      </x:c>
      <x:c r="C75" s="276" t="n">
        <x:f>Assumptions!$E$95</x:f>
        <x:v>0.0231</x:v>
      </x:c>
      <x:c r="D75" s="593" t="n">
        <x:f>D74*(1+C75)</x:f>
        <x:v>1.0507236999999998</x:v>
      </x:c>
      <x:c r="E75" s="167" t="n">
        <x:f>B75/D75</x:f>
        <x:v>2387.062228769426</x:v>
      </x:c>
      <x:c r="F75" s="276" t="n">
        <x:f>Assumptions!$E$110</x:f>
        <x:v>0.0375</x:v>
      </x:c>
      <x:c r="G75" s="276" t="n">
        <x:f>Assumptions!$E$86+Assumptions!$E$87</x:f>
        <x:v>0.0125</x:v>
      </x:c>
      <x:c r="H75" s="276" t="n">
        <x:f>F75+G75</x:f>
        <x:v>0.05</x:v>
      </x:c>
      <x:c r="I75" s="593" t="n">
        <x:f>I74*(1+H75)</x:f>
        <x:v>1.0943100000000001</x:v>
      </x:c>
      <x:c r="J75" s="167" t="n">
        <x:f>B75/I75</x:f>
        <x:v>2291.9856870017243</x:v>
      </x:c>
      <x:c r="K75" s="26" t="str">
        <x:v>Purchasing-power and indicative DCF bridge only</x:v>
      </x:c>
      <x:c r="L75" s="26"/>
      <x:c r="M75" s="26"/>
      <x:c r="U75" s="1196"/>
      <x:c r="V75" s="1196"/>
      <x:c r="W75" s="1196"/>
      <x:c r="X75" s="1196"/>
    </x:row>
    <x:row r="76">
      <x:c r="A76" s="26" t="n">
        <x:v>3</x:v>
      </x:c>
      <x:c r="B76" s="167" t="n">
        <x:f>IF(A76&lt;=ROUND(Assumptions!$E$77,0),Assumptions!$E$68/ROUND(Assumptions!$E$77,0),0)</x:f>
        <x:v>2508.1428571428573</x:v>
      </x:c>
      <x:c r="C76" s="276" t="n">
        <x:f>Assumptions!$E$96</x:f>
        <x:v>0.0215</x:v>
      </x:c>
      <x:c r="D76" s="593" t="n">
        <x:f>D75*(1+C76)</x:f>
        <x:v>1.0733142595499998</x:v>
      </x:c>
      <x:c r="E76" s="167" t="n">
        <x:f>B76/D76</x:f>
        <x:v>2336.820586166839</x:v>
      </x:c>
      <x:c r="F76" s="276" t="n">
        <x:f>Assumptions!$E$111</x:f>
        <x:v>0.04</x:v>
      </x:c>
      <x:c r="G76" s="276" t="n">
        <x:f>Assumptions!$E$86+Assumptions!$E$87</x:f>
        <x:v>0.0125</x:v>
      </x:c>
      <x:c r="H76" s="276" t="n">
        <x:f>F76+G76</x:f>
        <x:v>0.052500000000000005</x:v>
      </x:c>
      <x:c r="I76" s="593" t="n">
        <x:f>I75*(1+H76)</x:f>
        <x:v>1.1517612750000001</x:v>
      </x:c>
      <x:c r="J76" s="167" t="n">
        <x:f>B76/I76</x:f>
        <x:v>2177.6586099778856</x:v>
      </x:c>
      <x:c r="K76" s="26" t="str">
        <x:v>Purchasing-power and indicative DCF bridge only</x:v>
      </x:c>
      <x:c r="L76" s="26"/>
      <x:c r="M76" s="26"/>
      <x:c r="U76" s="1196"/>
      <x:c r="V76" s="1196"/>
      <x:c r="W76" s="1196"/>
      <x:c r="X76" s="1196"/>
    </x:row>
    <x:row r="77">
      <x:c r="A77" s="26" t="n">
        <x:v>4</x:v>
      </x:c>
      <x:c r="B77" s="167" t="n">
        <x:f>IF(A77&lt;=ROUND(Assumptions!$E$77,0),Assumptions!$E$68/ROUND(Assumptions!$E$77,0),0)</x:f>
        <x:v>2508.1428571428573</x:v>
      </x:c>
      <x:c r="C77" s="276" t="n">
        <x:f>Assumptions!$E$97</x:f>
        <x:v>0.021</x:v>
      </x:c>
      <x:c r="D77" s="593" t="n">
        <x:f>D76*(1+C77)</x:f>
        <x:v>1.0958538590005498</x:v>
      </x:c>
      <x:c r="E77" s="167" t="n">
        <x:f>B77/D77</x:f>
        <x:v>2288.7566955600773</x:v>
      </x:c>
      <x:c r="F77" s="276" t="n">
        <x:f>Assumptions!$E$112</x:f>
        <x:v>0.0427</x:v>
      </x:c>
      <x:c r="G77" s="276" t="n">
        <x:f>Assumptions!$E$86+Assumptions!$E$87</x:f>
        <x:v>0.0125</x:v>
      </x:c>
      <x:c r="H77" s="276" t="n">
        <x:f>F77+G77</x:f>
        <x:v>0.0552</x:v>
      </x:c>
      <x:c r="I77" s="593" t="n">
        <x:f>I76*(1+H77)</x:f>
        <x:v>1.21533849738</x:v>
      </x:c>
      <x:c r="J77" s="167" t="n">
        <x:f>B77/I77</x:f>
        <x:v>2063.7401535044405</x:v>
      </x:c>
      <x:c r="K77" s="26" t="str">
        <x:v>Purchasing-power and indicative DCF bridge only</x:v>
      </x:c>
      <x:c r="L77" s="26"/>
      <x:c r="M77" s="26"/>
      <x:c r="U77" s="1196"/>
      <x:c r="V77" s="1196"/>
      <x:c r="W77" s="1196"/>
      <x:c r="X77" s="1196"/>
    </x:row>
    <x:row r="78">
      <x:c r="A78" s="26" t="n">
        <x:v>5</x:v>
      </x:c>
      <x:c r="B78" s="167" t="n">
        <x:f>IF(A78&lt;=ROUND(Assumptions!$E$77,0),Assumptions!$E$68/ROUND(Assumptions!$E$77,0),0)</x:f>
        <x:v>2508.1428571428573</x:v>
      </x:c>
      <x:c r="C78" s="276" t="n">
        <x:f>Assumptions!$E$98</x:f>
        <x:v>0.0196</x:v>
      </x:c>
      <x:c r="D78" s="593" t="n">
        <x:f>D77*(1+C78)</x:f>
        <x:v>1.1173325946369606</x:v>
      </x:c>
      <x:c r="E78" s="167" t="n">
        <x:f>B78/D78</x:f>
        <x:v>2244.759411102469</x:v>
      </x:c>
      <x:c r="F78" s="276" t="n">
        <x:f>Assumptions!$E$113</x:f>
        <x:v>0.0454</x:v>
      </x:c>
      <x:c r="G78" s="276" t="n">
        <x:f>Assumptions!$E$86+Assumptions!$E$87</x:f>
        <x:v>0.0125</x:v>
      </x:c>
      <x:c r="H78" s="276" t="n">
        <x:f>F78+G78</x:f>
        <x:v>0.05790000000000001</x:v>
      </x:c>
      <x:c r="I78" s="593" t="n">
        <x:f>I77*(1+H78)</x:f>
        <x:v>1.285706596378302</x:v>
      </x:c>
      <x:c r="J78" s="167" t="n">
        <x:f>B78/I78</x:f>
        <x:v>1950.7894446587015</x:v>
      </x:c>
      <x:c r="K78" s="26" t="str">
        <x:v>Purchasing-power and indicative DCF bridge only</x:v>
      </x:c>
      <x:c r="L78" s="26"/>
      <x:c r="M78" s="26"/>
      <x:c r="U78" s="1196"/>
      <x:c r="V78" s="1196"/>
      <x:c r="W78" s="1196"/>
      <x:c r="X78" s="1196"/>
    </x:row>
    <x:row r="79">
      <x:c r="A79" s="26" t="n">
        <x:v>6</x:v>
      </x:c>
      <x:c r="B79" s="167" t="n">
        <x:f>IF(A79&lt;=ROUND(Assumptions!$E$77,0),Assumptions!$E$68/ROUND(Assumptions!$E$77,0),0)</x:f>
        <x:v>2508.1428571428573</x:v>
      </x:c>
      <x:c r="C79" s="276" t="n">
        <x:f>Assumptions!$E$99</x:f>
        <x:v>0.0196</x:v>
      </x:c>
      <x:c r="D79" s="593" t="n">
        <x:f>D78*(1+C79)</x:f>
        <x:v>1.139232313491845</x:v>
      </x:c>
      <x:c r="E79" s="167" t="n">
        <x:f>B79/D79</x:f>
        <x:v>2201.6078963343166</x:v>
      </x:c>
      <x:c r="F79" s="276" t="n">
        <x:f>Assumptions!$E$114</x:f>
        <x:v>0.0482</x:v>
      </x:c>
      <x:c r="G79" s="276" t="n">
        <x:f>Assumptions!$E$86+Assumptions!$E$87</x:f>
        <x:v>0.0125</x:v>
      </x:c>
      <x:c r="H79" s="276" t="n">
        <x:f>F79+G79</x:f>
        <x:v>0.060700000000000004</x:v>
      </x:c>
      <x:c r="I79" s="593" t="n">
        <x:f>I78*(1+H79)</x:f>
        <x:v>1.363748986778465</x:v>
      </x:c>
      <x:c r="J79" s="167" t="n">
        <x:f>B79/I79</x:f>
        <x:v>1839.1528657100987</x:v>
      </x:c>
      <x:c r="K79" s="26" t="str">
        <x:v>Purchasing-power and indicative DCF bridge only</x:v>
      </x:c>
      <x:c r="L79" s="26"/>
      <x:c r="M79" s="26"/>
      <x:c r="U79" s="1196"/>
      <x:c r="V79" s="1196"/>
      <x:c r="W79" s="1196"/>
      <x:c r="X79" s="1196"/>
    </x:row>
    <x:row r="80">
      <x:c r="A80" s="26" t="n">
        <x:v>7</x:v>
      </x:c>
      <x:c r="B80" s="167" t="n">
        <x:f>IF(A80&lt;=ROUND(Assumptions!$E$77,0),Assumptions!$E$68/ROUND(Assumptions!$E$77,0),0)</x:f>
        <x:v>2508.1428571428573</x:v>
      </x:c>
      <x:c r="C80" s="276" t="n">
        <x:f>Assumptions!$E$100</x:f>
        <x:v>0.0196</x:v>
      </x:c>
      <x:c r="D80" s="593" t="n">
        <x:f>D79*(1+C80)</x:f>
        <x:v>1.1615612668362851</x:v>
      </x:c>
      <x:c r="E80" s="167" t="n">
        <x:f>B80/D80</x:f>
        <x:v>2159.285892834755</x:v>
      </x:c>
      <x:c r="F80" s="276" t="n">
        <x:f>Assumptions!$E$115</x:f>
        <x:v>0.0496</x:v>
      </x:c>
      <x:c r="G80" s="276" t="n">
        <x:f>Assumptions!$E$86+Assumptions!$E$87</x:f>
        <x:v>0.0125</x:v>
      </x:c>
      <x:c r="H80" s="276" t="n">
        <x:f>F80+G80</x:f>
        <x:v>0.0621</x:v>
      </x:c>
      <x:c r="I80" s="593" t="n">
        <x:f>I79*(1+H80)</x:f>
        <x:v>1.4484377988574075</x:v>
      </x:c>
      <x:c r="J80" s="167" t="n">
        <x:f>B80/I80</x:f>
        <x:v>1731.619306760285</x:v>
      </x:c>
      <x:c r="K80" s="26" t="str">
        <x:v>Purchasing-power and indicative DCF bridge only</x:v>
      </x:c>
      <x:c r="L80" s="26"/>
      <x:c r="M80" s="26"/>
      <x:c r="U80" s="1196"/>
      <x:c r="V80" s="1196"/>
      <x:c r="W80" s="1196"/>
      <x:c r="X80" s="1196"/>
    </x:row>
    <x:row r="81">
      <x:c r="A81" s="26" t="n">
        <x:v>8</x:v>
      </x:c>
      <x:c r="B81" s="167" t="n">
        <x:f>IF(A81&lt;=ROUND(Assumptions!$E$77,0),Assumptions!$E$68/ROUND(Assumptions!$E$77,0),0)</x:f>
        <x:v>0</x:v>
      </x:c>
      <x:c r="C81" s="276" t="n">
        <x:f>Assumptions!$E$101</x:f>
        <x:v>0.0196</x:v>
      </x:c>
      <x:c r="D81" s="593" t="n">
        <x:f>D80*(1+C81)</x:f>
        <x:v>1.1843278676662763</x:v>
      </x:c>
      <x:c r="E81" s="167" t="n">
        <x:f>B81/D81</x:f>
        <x:v>0</x:v>
      </x:c>
      <x:c r="F81" s="276" t="n">
        <x:f>Assumptions!$E$116</x:f>
        <x:v>0.0506</x:v>
      </x:c>
      <x:c r="G81" s="276" t="n">
        <x:f>Assumptions!$E$86+Assumptions!$E$87</x:f>
        <x:v>0.0125</x:v>
      </x:c>
      <x:c r="H81" s="276" t="n">
        <x:f>F81+G81</x:f>
        <x:v>0.0631</x:v>
      </x:c>
      <x:c r="I81" s="593" t="n">
        <x:f>I80*(1+H81)</x:f>
        <x:v>1.5398342239653098</x:v>
      </x:c>
      <x:c r="J81" s="167" t="n">
        <x:f>B81/I81</x:f>
        <x:v>0</x:v>
      </x:c>
      <x:c r="K81" s="26" t="str">
        <x:v>Purchasing-power and indicative DCF bridge only</x:v>
      </x:c>
      <x:c r="L81" s="26"/>
      <x:c r="M81" s="26"/>
      <x:c r="U81" s="1196"/>
      <x:c r="V81" s="1196"/>
      <x:c r="W81" s="1196"/>
      <x:c r="X81" s="1196"/>
    </x:row>
    <x:row r="82">
      <x:c r="A82" s="26" t="n">
        <x:v>9</x:v>
      </x:c>
      <x:c r="B82" s="167" t="n">
        <x:f>IF(A82&lt;=ROUND(Assumptions!$E$77,0),Assumptions!$E$68/ROUND(Assumptions!$E$77,0),0)</x:f>
        <x:v>0</x:v>
      </x:c>
      <x:c r="C82" s="276" t="n">
        <x:f>Assumptions!$E$102</x:f>
        <x:v>0.0196</x:v>
      </x:c>
      <x:c r="D82" s="593" t="n">
        <x:f>D81*(1+C82)</x:f>
        <x:v>1.2075406938725355</x:v>
      </x:c>
      <x:c r="E82" s="167" t="n">
        <x:f>B82/D82</x:f>
        <x:v>0</x:v>
      </x:c>
      <x:c r="F82" s="276" t="n">
        <x:f>Assumptions!$E$117</x:f>
        <x:v>0.0518</x:v>
      </x:c>
      <x:c r="G82" s="276" t="n">
        <x:f>Assumptions!$E$86+Assumptions!$E$87</x:f>
        <x:v>0.0125</x:v>
      </x:c>
      <x:c r="H82" s="276" t="n">
        <x:f>F82+G82</x:f>
        <x:v>0.0643</x:v>
      </x:c>
      <x:c r="I82" s="593" t="n">
        <x:f>I81*(1+H82)</x:f>
        <x:v>1.6388455645662792</x:v>
      </x:c>
      <x:c r="J82" s="167" t="n">
        <x:f>B82/I82</x:f>
        <x:v>0</x:v>
      </x:c>
      <x:c r="K82" s="26" t="str">
        <x:v>Purchasing-power and indicative DCF bridge only</x:v>
      </x:c>
      <x:c r="L82" s="26"/>
      <x:c r="M82" s="26"/>
      <x:c r="U82" s="1196"/>
      <x:c r="V82" s="1196"/>
      <x:c r="W82" s="1196"/>
      <x:c r="X82" s="1196"/>
    </x:row>
    <x:row r="83">
      <x:c r="A83" s="26" t="n">
        <x:v>10</x:v>
      </x:c>
      <x:c r="B83" s="167" t="n">
        <x:f>IF(A83&lt;=ROUND(Assumptions!$E$77,0),Assumptions!$E$68/ROUND(Assumptions!$E$77,0),0)</x:f>
        <x:v>0</x:v>
      </x:c>
      <x:c r="C83" s="276" t="n">
        <x:f>Assumptions!$E$103</x:f>
        <x:v>0.0196</x:v>
      </x:c>
      <x:c r="D83" s="593" t="n">
        <x:f>D82*(1+C83)</x:f>
        <x:v>1.2312084914724373</x:v>
      </x:c>
      <x:c r="E83" s="167" t="n">
        <x:f>B83/D83</x:f>
        <x:v>0</x:v>
      </x:c>
      <x:c r="F83" s="276" t="n">
        <x:f>Assumptions!$E$118</x:f>
        <x:v>0.0531</x:v>
      </x:c>
      <x:c r="G83" s="276" t="n">
        <x:f>Assumptions!$E$86+Assumptions!$E$87</x:f>
        <x:v>0.0125</x:v>
      </x:c>
      <x:c r="H83" s="276" t="n">
        <x:f>F83+G83</x:f>
        <x:v>0.0656</x:v>
      </x:c>
      <x:c r="I83" s="593" t="n">
        <x:f>I82*(1+H83)</x:f>
        <x:v>1.7463538336018272</x:v>
      </x:c>
      <x:c r="J83" s="167" t="n">
        <x:f>B83/I83</x:f>
        <x:v>0</x:v>
      </x:c>
      <x:c r="K83" s="26" t="str">
        <x:v>Purchasing-power and indicative DCF bridge only</x:v>
      </x:c>
      <x:c r="L83" s="26"/>
      <x:c r="M83" s="26"/>
      <x:c r="U83" s="1196"/>
      <x:c r="V83" s="1196"/>
      <x:c r="W83" s="1196"/>
      <x:c r="X83" s="1196"/>
    </x:row>
    <x:row r="84">
      <x:c r="A84" s="26" t="n">
        <x:v>11</x:v>
      </x:c>
      <x:c r="B84" s="167" t="n">
        <x:f>IF(A84&lt;=ROUND(Assumptions!$E$77,0),Assumptions!$E$68/ROUND(Assumptions!$E$77,0),0)</x:f>
        <x:v>0</x:v>
      </x:c>
      <x:c r="C84" s="276" t="n">
        <x:f>Assumptions!$E$104</x:f>
        <x:v>0.0196</x:v>
      </x:c>
      <x:c r="D84" s="593" t="n">
        <x:f>D83*(1+C84)</x:f>
        <x:v>1.255340177905297</x:v>
      </x:c>
      <x:c r="E84" s="167" t="n">
        <x:f>B84/D84</x:f>
        <x:v>0</x:v>
      </x:c>
      <x:c r="F84" s="276" t="n">
        <x:f>Assumptions!$E$119</x:f>
        <x:v>0.0545</x:v>
      </x:c>
      <x:c r="G84" s="276" t="n">
        <x:f>Assumptions!$E$86+Assumptions!$E$87</x:f>
        <x:v>0.0125</x:v>
      </x:c>
      <x:c r="H84" s="276" t="n">
        <x:f>F84+G84</x:f>
        <x:v>0.067</x:v>
      </x:c>
      <x:c r="I84" s="593" t="n">
        <x:f>I83*(1+H84)</x:f>
        <x:v>1.8633595404531496</x:v>
      </x:c>
      <x:c r="J84" s="167" t="n">
        <x:f>B84/I84</x:f>
        <x:v>0</x:v>
      </x:c>
      <x:c r="K84" s="26" t="str">
        <x:v>Purchasing-power and indicative DCF bridge only</x:v>
      </x:c>
      <x:c r="L84" s="26"/>
      <x:c r="M84" s="26"/>
      <x:c r="U84" s="1196"/>
      <x:c r="V84" s="1196"/>
      <x:c r="W84" s="1196"/>
      <x:c r="X84" s="1196"/>
    </x:row>
    <x:row r="85">
      <x:c r="A85" s="26" t="n">
        <x:v>12</x:v>
      </x:c>
      <x:c r="B85" s="167" t="n">
        <x:f>IF(A85&lt;=ROUND(Assumptions!$E$77,0),Assumptions!$E$68/ROUND(Assumptions!$E$77,0),0)</x:f>
        <x:v>0</x:v>
      </x:c>
      <x:c r="C85" s="276" t="n">
        <x:f>Assumptions!$E$105</x:f>
        <x:v>0.0196</x:v>
      </x:c>
      <x:c r="D85" s="593" t="n">
        <x:f>D84*(1+C85)</x:f>
        <x:v>1.279944845392241</x:v>
      </x:c>
      <x:c r="E85" s="167" t="n">
        <x:f>B85/D85</x:f>
        <x:v>0</x:v>
      </x:c>
      <x:c r="F85" s="276" t="n">
        <x:f>Assumptions!$E$120</x:f>
        <x:v>0.056</x:v>
      </x:c>
      <x:c r="G85" s="276" t="n">
        <x:f>Assumptions!$E$86+Assumptions!$E$87</x:f>
        <x:v>0.0125</x:v>
      </x:c>
      <x:c r="H85" s="276" t="n">
        <x:f>F85+G85</x:f>
        <x:v>0.0685</x:v>
      </x:c>
      <x:c r="I85" s="593" t="n">
        <x:f>I84*(1+H85)</x:f>
        <x:v>1.9909996689741902</x:v>
      </x:c>
      <x:c r="J85" s="167" t="n">
        <x:f>B85/I85</x:f>
        <x:v>0</x:v>
      </x:c>
      <x:c r="K85" s="26" t="str">
        <x:v>Purchasing-power and indicative DCF bridge only</x:v>
      </x:c>
      <x:c r="L85" s="26"/>
      <x:c r="M85" s="26"/>
      <x:c r="U85" s="1196"/>
      <x:c r="V85" s="1196"/>
      <x:c r="W85" s="1196"/>
      <x:c r="X85" s="1196"/>
    </x:row>
    <x:row r="86">
      <x:c r="A86" s="26" t="n">
        <x:v>13</x:v>
      </x:c>
      <x:c r="B86" s="167" t="n">
        <x:f>IF(A86&lt;=ROUND(Assumptions!$E$77,0),Assumptions!$E$68/ROUND(Assumptions!$E$77,0),0)</x:f>
        <x:v>0</x:v>
      </x:c>
      <x:c r="C86" s="276" t="n">
        <x:f>Assumptions!$E$106</x:f>
        <x:v>0.0196</x:v>
      </x:c>
      <x:c r="D86" s="593" t="n">
        <x:f>D85*(1+C86)</x:f>
        <x:v>1.3050317643619291</x:v>
      </x:c>
      <x:c r="E86" s="167" t="n">
        <x:f>B86/D86</x:f>
        <x:v>0</x:v>
      </x:c>
      <x:c r="F86" s="276" t="n">
        <x:f>Assumptions!$E$121</x:f>
        <x:v>0.0572</x:v>
      </x:c>
      <x:c r="G86" s="276" t="n">
        <x:f>Assumptions!$E$86+Assumptions!$E$87</x:f>
        <x:v>0.0125</x:v>
      </x:c>
      <x:c r="H86" s="276" t="n">
        <x:f>F86+G86</x:f>
        <x:v>0.0697</x:v>
      </x:c>
      <x:c r="I86" s="593" t="n">
        <x:f>I85*(1+H86)</x:f>
        <x:v>2.1297723459016913</x:v>
      </x:c>
      <x:c r="J86" s="167" t="n">
        <x:f>B86/I86</x:f>
        <x:v>0</x:v>
      </x:c>
      <x:c r="K86" s="26" t="str">
        <x:v>Purchasing-power and indicative DCF bridge only</x:v>
      </x:c>
      <x:c r="L86" s="26"/>
      <x:c r="M86" s="26"/>
      <x:c r="U86" s="1196"/>
      <x:c r="V86" s="1196"/>
      <x:c r="W86" s="1196"/>
      <x:c r="X86" s="1196"/>
    </x:row>
    <x:row r="87">
      <x:c r="A87" s="26" t="n">
        <x:v>14</x:v>
      </x:c>
      <x:c r="B87" s="167" t="n">
        <x:f>IF(A87&lt;=ROUND(Assumptions!$E$77,0),Assumptions!$E$68/ROUND(Assumptions!$E$77,0),0)</x:f>
        <x:v>0</x:v>
      </x:c>
      <x:c r="C87" s="276" t="n">
        <x:f>Assumptions!$E$107</x:f>
        <x:v>0.0196</x:v>
      </x:c>
      <x:c r="D87" s="593" t="n">
        <x:f>D86*(1+C87)</x:f>
        <x:v>1.330610386943423</x:v>
      </x:c>
      <x:c r="E87" s="167" t="n">
        <x:f>B87/D87</x:f>
        <x:v>0</x:v>
      </x:c>
      <x:c r="F87" s="276" t="n">
        <x:f>Assumptions!$E$122</x:f>
        <x:v>0.058</x:v>
      </x:c>
      <x:c r="G87" s="276" t="n">
        <x:f>Assumptions!$E$86+Assumptions!$E$87</x:f>
        <x:v>0.0125</x:v>
      </x:c>
      <x:c r="H87" s="276" t="n">
        <x:f>F87+G87</x:f>
        <x:v>0.07050000000000001</x:v>
      </x:c>
      <x:c r="I87" s="593" t="n">
        <x:f>I86*(1+H87)</x:f>
        <x:v>2.2799212962877604</x:v>
      </x:c>
      <x:c r="J87" s="167" t="n">
        <x:f>B87/I87</x:f>
        <x:v>0</x:v>
      </x:c>
      <x:c r="K87" s="26" t="str">
        <x:v>Purchasing-power and indicative DCF bridge only</x:v>
      </x:c>
      <x:c r="L87" s="26"/>
      <x:c r="M87" s="26"/>
      <x:c r="U87" s="1196"/>
      <x:c r="V87" s="1196"/>
      <x:c r="W87" s="1196"/>
      <x:c r="X87" s="1196"/>
    </x:row>
    <x:row r="88">
      <x:c r="A88" s="26" t="n">
        <x:v>15</x:v>
      </x:c>
      <x:c r="B88" s="167" t="n">
        <x:f>IF(A88&lt;=ROUND(Assumptions!$E$77,0),Assumptions!$E$68/ROUND(Assumptions!$E$77,0),0)</x:f>
        <x:v>0</x:v>
      </x:c>
      <x:c r="C88" s="276" t="n">
        <x:f>Assumptions!$E$108</x:f>
        <x:v>0.0196</x:v>
      </x:c>
      <x:c r="D88" s="593" t="n">
        <x:f>D87*(1+C88)</x:f>
        <x:v>1.356690350527514</x:v>
      </x:c>
      <x:c r="E88" s="167" t="n">
        <x:f>B88/D88</x:f>
        <x:v>0</x:v>
      </x:c>
      <x:c r="F88" s="276" t="n">
        <x:f>Assumptions!$E$123</x:f>
        <x:v>0.0584</x:v>
      </x:c>
      <x:c r="G88" s="276" t="n">
        <x:f>Assumptions!$E$86+Assumptions!$E$87</x:f>
        <x:v>0.0125</x:v>
      </x:c>
      <x:c r="H88" s="276" t="n">
        <x:f>F88+G88</x:f>
        <x:v>0.0709</x:v>
      </x:c>
      <x:c r="I88" s="593" t="n">
        <x:f>I87*(1+H88)</x:f>
        <x:v>2.4415677161945624</x:v>
      </x:c>
      <x:c r="J88" s="167" t="n">
        <x:f>B88/I88</x:f>
        <x:v>0</x:v>
      </x:c>
      <x:c r="K88" s="26" t="str">
        <x:v>Purchasing-power and indicative DCF bridge only</x:v>
      </x:c>
      <x:c r="L88" s="26"/>
      <x:c r="M88" s="26"/>
      <x:c r="U88" s="1196"/>
      <x:c r="V88" s="1196"/>
      <x:c r="W88" s="1196"/>
      <x:c r="X88" s="1196"/>
    </x:row>
    <x:row r="89">
      <x:c r="A89" s="26"/>
      <x:c r="B89" s="26"/>
      <x:c r="C89" s="26"/>
      <x:c r="D89" s="26"/>
      <x:c r="E89" s="26"/>
      <x:c r="F89" s="26"/>
      <x:c r="G89" s="26"/>
      <x:c r="H89" s="26"/>
      <x:c r="I89" s="26"/>
      <x:c r="J89" s="26"/>
      <x:c r="K89" s="26"/>
      <x:c r="L89" s="26"/>
      <x:c r="M89" s="26"/>
      <x:c r="U89" s="1196"/>
      <x:c r="V89" s="1196"/>
      <x:c r="W89" s="1196"/>
      <x:c r="X89" s="1196"/>
    </x:row>
    <x:row r="90" ht="28" customHeight="1">
      <x:c r="A90" s="527" t="str">
        <x:v>View</x:v>
      </x:c>
      <x:c r="B90" s="527" t="str">
        <x:v>Amount on audited median loan</x:v>
      </x:c>
      <x:c r="C90" s="527" t="str">
        <x:v>Calculation</x:v>
      </x:c>
      <x:c r="D90" s="527" t="str">
        <x:v>Can be added to official fair-value cost?</x:v>
      </x:c>
      <x:c r="E90" s="527" t="str">
        <x:v>Interpretation</x:v>
      </x:c>
      <x:c r="F90" s="26"/>
      <x:c r="G90" s="26"/>
      <x:c r="H90" s="26"/>
      <x:c r="I90" s="26"/>
      <x:c r="J90" s="26"/>
      <x:c r="K90" s="26"/>
      <x:c r="L90" s="26"/>
      <x:c r="M90" s="26"/>
      <x:c r="U90" s="1196"/>
      <x:c r="V90" s="1196"/>
      <x:c r="W90" s="1196"/>
      <x:c r="X90" s="1196"/>
    </x:row>
    <x:row r="91">
      <x:c r="A91" s="26" t="str">
        <x:v>A. Origination — official fair-value write-down</x:v>
      </x:c>
      <x:c r="B91" s="167" t="n">
        <x:f>Assumptions!$E$68*Assumptions!$E$80</x:f>
        <x:v>6011.516799999999</x:v>
      </x:c>
      <x:c r="C91" s="26" t="str">
        <x:v>Principal × 34.24%</x:v>
      </x:c>
      <x:c r="D91" s="576" t="str">
        <x:v>Central measure</x:v>
      </x:c>
      <x:c r="E91" s="26" t="str">
        <x:v>Expected lifetime cost recognised when lending occurs.</x:v>
      </x:c>
      <x:c r="F91" s="26"/>
      <x:c r="G91" s="26"/>
      <x:c r="H91" s="26"/>
      <x:c r="I91" s="26"/>
      <x:c r="J91" s="26"/>
      <x:c r="K91" s="26"/>
      <x:c r="L91" s="26"/>
      <x:c r="M91" s="26"/>
      <x:c r="U91" s="1196"/>
      <x:c r="V91" s="1196"/>
      <x:c r="W91" s="1196"/>
      <x:c r="X91" s="1196"/>
    </x:row>
    <x:row r="92">
      <x:c r="A92" s="26" t="str">
        <x:v>B. Carrying-cost view</x:v>
      </x:c>
      <x:c r="B92" s="167" t="n">
        <x:f>(Assumptions!$E$68-B91)*Assumptions!$E$84</x:f>
        <x:v>654.6288974400001</x:v>
      </x:c>
      <x:c r="C92" s="26" t="str">
        <x:v>Estimated fair-value asset avoided × 5.67%</x:v>
      </x:c>
      <x:c r="D92" s="576" t="str">
        <x:v>No</x:v>
      </x:c>
      <x:c r="E92" s="26" t="str">
        <x:v>Annual cost-of-capital perspective on the remaining asset.</x:v>
      </x:c>
      <x:c r="F92" s="26"/>
      <x:c r="G92" s="26"/>
      <x:c r="H92" s="26"/>
      <x:c r="I92" s="26"/>
      <x:c r="J92" s="26"/>
      <x:c r="K92" s="26"/>
      <x:c r="L92" s="26"/>
      <x:c r="M92" s="26"/>
      <x:c r="U92" s="1196"/>
      <x:c r="V92" s="1196"/>
      <x:c r="W92" s="1196"/>
      <x:c r="X92" s="1196"/>
    </x:row>
    <x:row r="93">
      <x:c r="A93" s="574" t="str">
        <x:v>C. Purchasing-power view</x:v>
      </x:c>
      <x:c r="B93" s="575" t="n">
        <x:f>SUM(B74:B88)-SUM(E74:E88)</x:f>
        <x:v>1496.5039229781141</x:v>
      </x:c>
      <x:c r="C93" s="574" t="str">
        <x:v>Nominal repayments − CPI-deflated repayments</x:v>
      </x:c>
      <x:c r="D93" s="577" t="str">
        <x:v>No</x:v>
      </x:c>
      <x:c r="E93" s="574" t="str">
        <x:v>Shows why delayed nominal recovery loses real value.</x:v>
      </x:c>
      <x:c r="F93" s="26"/>
      <x:c r="G93" s="26"/>
      <x:c r="H93" s="26"/>
      <x:c r="I93" s="26"/>
      <x:c r="J93" s="26"/>
      <x:c r="K93" s="26"/>
      <x:c r="L93" s="26"/>
      <x:c r="M93" s="26"/>
      <x:c r="U93" s="1196"/>
      <x:c r="V93" s="1196"/>
      <x:c r="W93" s="1196"/>
      <x:c r="X93" s="1196"/>
    </x:row>
    <x:row r="94">
      <x:c r="A94" s="574" t="str">
        <x:v>Indicative discounted-cash-flow view</x:v>
      </x:c>
      <x:c r="B94" s="575" t="n">
        <x:f>Assumptions!$E$68-SUM(J74:J88)</x:f>
        <x:v>3095.4689610350524</x:v>
      </x:c>
      <x:c r="C94" s="574" t="str">
        <x:v>Nominal principal − PV of repayments</x:v>
      </x:c>
      <x:c r="D94" s="577" t="str">
        <x:v>No</x:v>
      </x:c>
      <x:c r="E94" s="574" t="str">
        <x:v>Simplified curve-based bridge; not a recreation of the official actuarial model.</x:v>
      </x:c>
      <x:c r="F94" s="26"/>
      <x:c r="G94" s="26"/>
      <x:c r="H94" s="26"/>
      <x:c r="I94" s="26"/>
      <x:c r="J94" s="26"/>
      <x:c r="K94" s="26"/>
      <x:c r="L94" s="26"/>
      <x:c r="M94" s="26"/>
      <x:c r="U94" s="1196"/>
      <x:c r="V94" s="1196"/>
      <x:c r="W94" s="1196"/>
      <x:c r="X94" s="1196"/>
    </x:row>
    <x:row r="95">
      <x:c r="A95" s="26"/>
      <x:c r="B95" s="26"/>
      <x:c r="C95" s="26"/>
      <x:c r="D95" s="26"/>
      <x:c r="E95" s="26"/>
      <x:c r="F95" s="26"/>
      <x:c r="G95" s="26"/>
      <x:c r="H95" s="26"/>
      <x:c r="I95" s="26"/>
      <x:c r="J95" s="26"/>
      <x:c r="K95" s="26"/>
      <x:c r="L95" s="26"/>
      <x:c r="M95" s="26"/>
      <x:c r="U95" s="1196"/>
      <x:c r="V95" s="1196"/>
      <x:c r="W95" s="1196"/>
      <x:c r="X95" s="1196"/>
    </x:row>
    <x:row r="96" ht="22" customHeight="1">
      <x:c r="A96" s="587" t="str">
        <x:v>Crown student-loan offset — expected per participant</x:v>
      </x:c>
      <x:c r="B96" s="587" t="str">
        <x:v>Crown student-loan offset — expected per participant</x:v>
      </x:c>
      <x:c r="C96" s="587" t="str">
        <x:v>Crown student-loan offset — expected per participant</x:v>
      </x:c>
      <x:c r="D96" s="587" t="str">
        <x:v>Crown student-loan offset — expected per participant</x:v>
      </x:c>
      <x:c r="E96" s="587" t="str">
        <x:v>Crown student-loan offset — expected per participant</x:v>
      </x:c>
      <x:c r="F96" s="587" t="str">
        <x:v>Crown student-loan offset — expected per participant</x:v>
      </x:c>
      <x:c r="G96" s="587" t="str">
        <x:v>Crown student-loan offset — expected per participant</x:v>
      </x:c>
      <x:c r="H96" s="587" t="str">
        <x:v>Crown student-loan offset — expected per participant</x:v>
      </x:c>
      <x:c r="I96" s="587" t="str">
        <x:v>Crown student-loan offset — expected per participant</x:v>
      </x:c>
      <x:c r="J96" s="587" t="str">
        <x:v>Crown student-loan offset — expected per participant</x:v>
      </x:c>
      <x:c r="K96" s="587" t="str">
        <x:v>Crown student-loan offset — expected per participant</x:v>
      </x:c>
      <x:c r="L96" s="587" t="str">
        <x:v>Crown student-loan offset — expected per participant</x:v>
      </x:c>
      <x:c r="M96" s="587" t="str">
        <x:v>Crown student-loan offset — expected per participant</x:v>
      </x:c>
      <x:c r="U96" s="1196"/>
      <x:c r="V96" s="1196"/>
      <x:c r="W96" s="1196"/>
      <x:c r="X96" s="1196"/>
    </x:row>
    <x:row r="97" ht="28" customHeight="1">
      <x:c r="A97" s="527" t="str">
        <x:v>Metric</x:v>
      </x:c>
      <x:c r="B97" s="527" t="str">
        <x:v>Low</x:v>
      </x:c>
      <x:c r="C97" s="527" t="str">
        <x:v>Central</x:v>
      </x:c>
      <x:c r="D97" s="527" t="str">
        <x:v>High</x:v>
      </x:c>
      <x:c r="E97" s="527" t="str">
        <x:v>Unit</x:v>
      </x:c>
      <x:c r="F97" s="26"/>
      <x:c r="G97" s="527" t="str">
        <x:v>Critical non-additivity and ownership controls</x:v>
      </x:c>
      <x:c r="H97" s="527"/>
      <x:c r="I97" s="527"/>
      <x:c r="J97" s="527"/>
      <x:c r="K97" s="527"/>
      <x:c r="L97" s="527"/>
      <x:c r="M97" s="527"/>
      <x:c r="U97" s="1196"/>
      <x:c r="V97" s="1196"/>
      <x:c r="W97" s="1196"/>
      <x:c r="X97" s="1196"/>
    </x:row>
    <x:row r="98">
      <x:c r="A98" s="166" t="str">
        <x:v>Tertiary entry</x:v>
      </x:c>
      <x:c r="B98" s="276" t="n">
        <x:f>Assumptions!$D$70</x:f>
        <x:v>0.45</x:v>
      </x:c>
      <x:c r="C98" s="276" t="n">
        <x:f>Assumptions!$E$70</x:f>
        <x:v>0.55</x:v>
      </x:c>
      <x:c r="D98" s="276" t="n">
        <x:f>Assumptions!$F$70</x:f>
        <x:v>0.65</x:v>
      </x:c>
      <x:c r="E98" s="26" t="str">
        <x:v>%</x:v>
      </x:c>
      <x:c r="F98" s="26"/>
      <x:c r="G98" s="581" t="str">
        <x:v>• The full student-loan principal displaced is not a Crown saving; the Crown also forgoes repayments.
• The official initial fair-value cost avoided is the central origination measure.
• Cost of ownership, inflation erosion and simplified DCF effects are alternative views and are not added.
• Account balance, approved education costs paid and student debt avoided describe the same financial resource from different perspectives.
• Legal ownership, beneficial ownership, Crown control, vesting, withdrawal restrictions, tax and public-sector accounting require specialist advice.
• Returns are not guaranteed. Market losses, fees, tax and lifecycle de-risking can reduce the closing balance.</x:v>
      </x:c>
      <x:c r="H98" s="581"/>
      <x:c r="I98" s="581"/>
      <x:c r="J98" s="581"/>
      <x:c r="K98" s="581"/>
      <x:c r="L98" s="581"/>
      <x:c r="M98" s="581"/>
      <x:c r="U98" s="1196"/>
      <x:c r="V98" s="1196"/>
      <x:c r="W98" s="1196"/>
      <x:c r="X98" s="1196"/>
    </x:row>
    <x:row r="99">
      <x:c r="A99" s="166" t="str">
        <x:v>Apprenticeship entry</x:v>
      </x:c>
      <x:c r="B99" s="276" t="n">
        <x:f>Assumptions!$D$71</x:f>
        <x:v>0.08</x:v>
      </x:c>
      <x:c r="C99" s="276" t="n">
        <x:f>Assumptions!$E$71</x:f>
        <x:v>0.12</x:v>
      </x:c>
      <x:c r="D99" s="276" t="n">
        <x:f>Assumptions!$F$71</x:f>
        <x:v>0.15</x:v>
      </x:c>
      <x:c r="E99" s="26" t="str">
        <x:v>%</x:v>
      </x:c>
      <x:c r="F99" s="26"/>
      <x:c r="G99" s="581"/>
      <x:c r="H99" s="581"/>
      <x:c r="I99" s="581"/>
      <x:c r="J99" s="581"/>
      <x:c r="K99" s="581"/>
      <x:c r="L99" s="581"/>
      <x:c r="M99" s="581"/>
      <x:c r="U99" s="1196"/>
      <x:c r="V99" s="1196"/>
      <x:c r="W99" s="1196"/>
      <x:c r="X99" s="1196"/>
    </x:row>
    <x:row r="100">
      <x:c r="A100" s="166" t="str">
        <x:v>Approved-use account utilisation</x:v>
      </x:c>
      <x:c r="B100" s="276" t="n">
        <x:f>Assumptions!$D$72</x:f>
        <x:v>0.65</x:v>
      </x:c>
      <x:c r="C100" s="276" t="n">
        <x:f>Assumptions!$E$72</x:f>
        <x:v>0.8</x:v>
      </x:c>
      <x:c r="D100" s="276" t="n">
        <x:f>Assumptions!$F$72</x:f>
        <x:v>0.9</x:v>
      </x:c>
      <x:c r="E100" s="26" t="str">
        <x:v>%</x:v>
      </x:c>
      <x:c r="F100" s="26"/>
      <x:c r="G100" s="581"/>
      <x:c r="H100" s="581"/>
      <x:c r="I100" s="581"/>
      <x:c r="J100" s="581"/>
      <x:c r="K100" s="581"/>
      <x:c r="L100" s="581"/>
      <x:c r="M100" s="581"/>
      <x:c r="U100" s="1196"/>
      <x:c r="V100" s="1196"/>
      <x:c r="W100" s="1196"/>
      <x:c r="X100" s="1196"/>
    </x:row>
    <x:row r="101">
      <x:c r="A101" s="166" t="str">
        <x:v>Counterfactual borrowing probability</x:v>
      </x:c>
      <x:c r="B101" s="276" t="n">
        <x:f>Assumptions!$D$73</x:f>
        <x:v>0.45</x:v>
      </x:c>
      <x:c r="C101" s="276" t="n">
        <x:f>Assumptions!$E$73</x:f>
        <x:v>0.6</x:v>
      </x:c>
      <x:c r="D101" s="276" t="n">
        <x:f>Assumptions!$F$73</x:f>
        <x:v>0.75</x:v>
      </x:c>
      <x:c r="E101" s="26" t="str">
        <x:v>%</x:v>
      </x:c>
      <x:c r="F101" s="26"/>
      <x:c r="G101" s="581"/>
      <x:c r="H101" s="581"/>
      <x:c r="I101" s="581"/>
      <x:c r="J101" s="581"/>
      <x:c r="K101" s="581"/>
      <x:c r="L101" s="581"/>
      <x:c r="M101" s="581"/>
      <x:c r="U101" s="1196"/>
      <x:c r="V101" s="1196"/>
      <x:c r="W101" s="1196"/>
      <x:c r="X101" s="1196"/>
    </x:row>
    <x:row r="102">
      <x:c r="A102" s="166" t="str">
        <x:v>Borrowing-displacement factor</x:v>
      </x:c>
      <x:c r="B102" s="276" t="n">
        <x:f>Assumptions!$D$74</x:f>
        <x:v>0.6</x:v>
      </x:c>
      <x:c r="C102" s="276" t="n">
        <x:f>Assumptions!$E$74</x:f>
        <x:v>0.8</x:v>
      </x:c>
      <x:c r="D102" s="276" t="n">
        <x:f>Assumptions!$F$74</x:f>
        <x:v>0.95</x:v>
      </x:c>
      <x:c r="E102" s="26" t="str">
        <x:v>%</x:v>
      </x:c>
      <x:c r="F102" s="26"/>
      <x:c r="G102" s="581"/>
      <x:c r="H102" s="581"/>
      <x:c r="I102" s="581"/>
      <x:c r="J102" s="581"/>
      <x:c r="K102" s="581"/>
      <x:c r="L102" s="581"/>
      <x:c r="M102" s="581"/>
      <x:c r="U102" s="1196"/>
      <x:c r="V102" s="1196"/>
      <x:c r="W102" s="1196"/>
      <x:c r="X102" s="1196"/>
    </x:row>
    <x:row r="103">
      <x:c r="A103" s="166" t="str">
        <x:v>Eligible account withdrawal</x:v>
      </x:c>
      <x:c r="B103" s="167" t="n">
        <x:f>MIN(B26,Assumptions!$D$64)*(B98+B99)*B100</x:f>
        <x:v>2128.169511811891</x:v>
      </x:c>
      <x:c r="C103" s="167" t="n">
        <x:f>MIN(C26,Assumptions!$E$64)*(C98+C99)*C100</x:f>
        <x:v>5725.324138831373</x:v>
      </x:c>
      <x:c r="D103" s="167" t="n">
        <x:f>MIN(D26,Assumptions!$F$64)*(D98+D99)*D100</x:f>
        <x:v>10455.046688012439</x:v>
      </x:c>
      <x:c r="E103" s="26" t="str">
        <x:v>NZD</x:v>
      </x:c>
      <x:c r="F103" s="26"/>
      <x:c r="G103" s="581"/>
      <x:c r="H103" s="581"/>
      <x:c r="I103" s="581"/>
      <x:c r="J103" s="581"/>
      <x:c r="K103" s="581"/>
      <x:c r="L103" s="581"/>
      <x:c r="M103" s="581"/>
      <x:c r="U103" s="1196"/>
      <x:c r="V103" s="1196"/>
      <x:c r="W103" s="1196"/>
      <x:c r="X103" s="1196"/>
    </x:row>
    <x:row r="104">
      <x:c r="A104" s="166" t="str">
        <x:v>Gross student-loan principal displaced</x:v>
      </x:c>
      <x:c r="B104" s="167" t="n">
        <x:f>B103*B101*B102</x:f>
        <x:v>574.6057681892105</x:v>
      </x:c>
      <x:c r="C104" s="167" t="n">
        <x:f>C103*C101*C102</x:f>
        <x:v>2748.155586639059</x:v>
      </x:c>
      <x:c r="D104" s="167" t="n">
        <x:f>D103*D101*D102</x:f>
        <x:v>7449.220765208863</x:v>
      </x:c>
      <x:c r="E104" s="26" t="str">
        <x:v>NZD</x:v>
      </x:c>
      <x:c r="F104" s="26"/>
      <x:c r="G104" s="581"/>
      <x:c r="H104" s="581"/>
      <x:c r="I104" s="581"/>
      <x:c r="J104" s="581"/>
      <x:c r="K104" s="581"/>
      <x:c r="L104" s="581"/>
      <x:c r="M104" s="581"/>
      <x:c r="U104" s="1196"/>
      <x:c r="V104" s="1196"/>
      <x:c r="W104" s="1196"/>
      <x:c r="X104" s="1196"/>
    </x:row>
    <x:row r="105">
      <x:c r="A105" s="166" t="str">
        <x:v>Initial fair-value cost avoided</x:v>
      </x:c>
      <x:c r="B105" s="167" t="n">
        <x:f>B104*Assumptions!$D$80</x:f>
        <x:v>196.74501502798566</x:v>
      </x:c>
      <x:c r="C105" s="167" t="n">
        <x:f>C104*Assumptions!$E$80</x:f>
        <x:v>940.9684728652138</x:v>
      </x:c>
      <x:c r="D105" s="167" t="n">
        <x:f>D104*Assumptions!$F$80</x:f>
        <x:v>2550.6131900075143</x:v>
      </x:c>
      <x:c r="E105" s="26" t="str">
        <x:v>NZD</x:v>
      </x:c>
      <x:c r="F105" s="26"/>
      <x:c r="G105" s="581"/>
      <x:c r="H105" s="581"/>
      <x:c r="I105" s="581"/>
      <x:c r="J105" s="581"/>
      <x:c r="K105" s="581"/>
      <x:c r="L105" s="581"/>
      <x:c r="M105" s="581"/>
      <x:c r="U105" s="1196"/>
      <x:c r="V105" s="1196"/>
      <x:c r="W105" s="1196"/>
      <x:c r="X105" s="1196"/>
    </x:row>
    <x:row r="106">
      <x:c r="A106" s="166" t="str">
        <x:v>Potential marginal loan-administration saving</x:v>
      </x:c>
      <x:c r="B106" s="167" t="n">
        <x:f>IF(B104&gt;=Assumptions!$D$68,Assumptions!$D$88,0)</x:f>
        <x:v>0</x:v>
      </x:c>
      <x:c r="C106" s="167" t="n">
        <x:f>IF(C104&gt;=Assumptions!$E$68,Assumptions!$E$88,0)</x:f>
        <x:v>0</x:v>
      </x:c>
      <x:c r="D106" s="167" t="n">
        <x:f>IF(D104&gt;=Assumptions!$F$68,Assumptions!$F$88,0)</x:f>
        <x:v>0</x:v>
      </x:c>
      <x:c r="E106" s="26" t="str">
        <x:v>NZD</x:v>
      </x:c>
      <x:c r="F106" s="26"/>
      <x:c r="G106" s="581"/>
      <x:c r="H106" s="581"/>
      <x:c r="I106" s="581"/>
      <x:c r="J106" s="581"/>
      <x:c r="K106" s="581"/>
      <x:c r="L106" s="581"/>
      <x:c r="M106" s="581"/>
      <x:c r="U106" s="1196"/>
      <x:c r="V106" s="1196"/>
      <x:c r="W106" s="1196"/>
      <x:c r="X106" s="1196"/>
    </x:row>
    <x:row r="107">
      <x:c r="A107" s="166" t="str">
        <x:v>Learning Capital administration</x:v>
      </x:c>
      <x:c r="B107" s="167" t="n">
        <x:f>Assumptions!$D$63*Assumptions!$D$56</x:f>
        <x:v>100</x:v>
      </x:c>
      <x:c r="C107" s="167" t="n">
        <x:f>Assumptions!$E$63*Assumptions!$E$56</x:f>
        <x:v>125</x:v>
      </x:c>
      <x:c r="D107" s="167" t="n">
        <x:f>Assumptions!$F$63*Assumptions!$F$56</x:f>
        <x:v>175</x:v>
      </x:c>
      <x:c r="E107" s="26" t="str">
        <x:v>NZD</x:v>
      </x:c>
      <x:c r="F107" s="26"/>
      <x:c r="G107" s="581"/>
      <x:c r="H107" s="581"/>
      <x:c r="I107" s="581"/>
      <x:c r="J107" s="581"/>
      <x:c r="K107" s="581"/>
      <x:c r="L107" s="581"/>
      <x:c r="M107" s="581"/>
      <x:c r="U107" s="1196"/>
      <x:c r="V107" s="1196"/>
      <x:c r="W107" s="1196"/>
      <x:c r="X107" s="1196"/>
    </x:row>
    <x:row r="108">
      <x:c r="A108" s="166" t="str">
        <x:v>Incremental tertiary-system fiscal cost</x:v>
      </x:c>
      <x:c r="B108" s="167" t="n">
        <x:f>(B98+B99)*Assumptions!$D$76*Assumptions!$D$89</x:f>
        <x:v>159.00000000000003</x:v>
      </x:c>
      <x:c r="C108" s="167" t="n">
        <x:f>(C98+C99)*Assumptions!$E$76*Assumptions!$E$89</x:f>
        <x:v>536</x:v>
      </x:c>
      <x:c r="D108" s="167" t="n">
        <x:f>(D98+D99)*Assumptions!$F$76*Assumptions!$F$89</x:f>
        <x:v>1200</x:v>
      </x:c>
      <x:c r="E108" s="26" t="str">
        <x:v>NZD</x:v>
      </x:c>
      <x:c r="F108" s="26"/>
      <x:c r="G108" s="581"/>
      <x:c r="H108" s="581"/>
      <x:c r="I108" s="581"/>
      <x:c r="J108" s="581"/>
      <x:c r="K108" s="581"/>
      <x:c r="L108" s="581"/>
      <x:c r="M108" s="581"/>
      <x:c r="U108" s="1196"/>
      <x:c r="V108" s="1196"/>
      <x:c r="W108" s="1196"/>
      <x:c r="X108" s="1196"/>
    </x:row>
    <x:row r="109">
      <x:c r="A109" s="594" t="str">
        <x:v>Net Crown fiscal offset after account administration</x:v>
      </x:c>
      <x:c r="B109" s="595" t="n">
        <x:f>B105+B106-B107-B108</x:f>
        <x:v>-62.25498497201437</x:v>
      </x:c>
      <x:c r="C109" s="595" t="n">
        <x:f>C105+C106-C107-C108</x:f>
        <x:v>279.9684728652138</x:v>
      </x:c>
      <x:c r="D109" s="595" t="n">
        <x:f>D105+D106-D107-D108</x:f>
        <x:v>1175.6131900075143</x:v>
      </x:c>
      <x:c r="E109" s="596" t="str">
        <x:v>NZD</x:v>
      </x:c>
      <x:c r="F109" s="26"/>
      <x:c r="G109" s="581"/>
      <x:c r="H109" s="581"/>
      <x:c r="I109" s="581"/>
      <x:c r="J109" s="581"/>
      <x:c r="K109" s="581"/>
      <x:c r="L109" s="581"/>
      <x:c r="M109" s="581"/>
      <x:c r="U109" s="1196"/>
      <x:c r="V109" s="1196"/>
      <x:c r="W109" s="1196"/>
      <x:c r="X109" s="1196"/>
    </x:row>
    <x:row r="110">
      <x:c r="A110" s="166" t="str">
        <x:v>Annual student-loan asset avoided</x:v>
      </x:c>
      <x:c r="B110" s="167" t="n">
        <x:f>B104*(1-Assumptions!$D$80)</x:f>
        <x:v>377.8607531612248</x:v>
      </x:c>
      <x:c r="C110" s="167" t="n">
        <x:f>C104*(1-Assumptions!$E$80)</x:f>
        <x:v>1807.187113773845</x:v>
      </x:c>
      <x:c r="D110" s="167" t="n">
        <x:f>D104*(1-Assumptions!$F$80)</x:f>
        <x:v>4898.607575201348</x:v>
      </x:c>
      <x:c r="E110" s="26" t="str">
        <x:v>NZD fair-value proxy</x:v>
      </x:c>
      <x:c r="F110" s="26"/>
      <x:c r="G110" s="581"/>
      <x:c r="H110" s="581"/>
      <x:c r="I110" s="581"/>
      <x:c r="J110" s="581"/>
      <x:c r="K110" s="581"/>
      <x:c r="L110" s="581"/>
      <x:c r="M110" s="581"/>
      <x:c r="U110" s="1196"/>
      <x:c r="V110" s="1196"/>
      <x:c r="W110" s="1196"/>
      <x:c r="X110" s="1196"/>
    </x:row>
    <x:row r="111">
      <x:c r="A111" s="588" t="str">
        <x:v>Potential annual cost-of-ownership reduction</x:v>
      </x:c>
      <x:c r="B111" s="575" t="n">
        <x:f>B110*Assumptions!$D$84</x:f>
        <x:v>21.424704704241446</x:v>
      </x:c>
      <x:c r="C111" s="575" t="n">
        <x:f>C110*Assumptions!$E$84</x:f>
        <x:v>102.46750935097702</x:v>
      </x:c>
      <x:c r="D111" s="575" t="n">
        <x:f>D110*Assumptions!$F$84</x:f>
        <x:v>277.7510495139164</x:v>
      </x:c>
      <x:c r="E111" s="574" t="str">
        <x:v>NZD non-additive</x:v>
      </x:c>
      <x:c r="F111" s="26"/>
      <x:c r="G111" s="581"/>
      <x:c r="H111" s="581"/>
      <x:c r="I111" s="581"/>
      <x:c r="J111" s="581"/>
      <x:c r="K111" s="581"/>
      <x:c r="L111" s="581"/>
      <x:c r="M111" s="581"/>
      <x:c r="U111" s="1196"/>
      <x:c r="V111" s="1196"/>
      <x:c r="W111" s="1196"/>
      <x:c r="X111" s="1196"/>
    </x:row>
    <x:row r="112">
      <x:c r="A112" s="588" t="str">
        <x:v>Inflation erosion avoided</x:v>
      </x:c>
      <x:c r="B112" s="575" t="n">
        <x:f>B104*(1-SUM($E$74:$E$88)/SUM($B$74:$B$88))</x:f>
        <x:v>48.977603591787094</x:v>
      </x:c>
      <x:c r="C112" s="575" t="n">
        <x:f>C104*(1-SUM($E$74:$E$88)/SUM($B$74:$B$88))</x:f>
        <x:v>234.24421121829303</x:v>
      </x:c>
      <x:c r="D112" s="575" t="n">
        <x:f>D104*(1-SUM($E$74:$E$88)/SUM($B$74:$B$88))</x:f>
        <x:v>634.9483452904874</x:v>
      </x:c>
      <x:c r="E112" s="574" t="str">
        <x:v>NZD non-additive</x:v>
      </x:c>
      <x:c r="F112" s="26"/>
      <x:c r="G112" s="581"/>
      <x:c r="H112" s="581"/>
      <x:c r="I112" s="581"/>
      <x:c r="J112" s="581"/>
      <x:c r="K112" s="581"/>
      <x:c r="L112" s="581"/>
      <x:c r="M112" s="581"/>
      <x:c r="U112" s="1196"/>
      <x:c r="V112" s="1196"/>
      <x:c r="W112" s="1196"/>
      <x:c r="X112" s="1196"/>
    </x:row>
    <x:row r="113">
      <x:c r="A113" s="166" t="str">
        <x:v>Net offset as % of locked contributions</x:v>
      </x:c>
      <x:c r="B113" s="276" t="n">
        <x:f>IF(B23=0,0,B109/B23)</x:f>
        <x:v>-0.010485050100549788</x:v>
      </x:c>
      <x:c r="C113" s="276" t="n">
        <x:f>IF(C23=0,0,C109/C23)</x:f>
        <x:v>0.028714715165662954</x:v>
      </x:c>
      <x:c r="D113" s="276" t="n">
        <x:f>IF(D23=0,0,D109/D23)</x:f>
        <x:v>0.0933026341275805</x:v>
      </x:c>
      <x:c r="E113" s="26" t="str">
        <x:v>%</x:v>
      </x:c>
      <x:c r="F113" s="26"/>
      <x:c r="G113" s="581"/>
      <x:c r="H113" s="581"/>
      <x:c r="I113" s="581"/>
      <x:c r="J113" s="581"/>
      <x:c r="K113" s="581"/>
      <x:c r="L113" s="581"/>
      <x:c r="M113" s="581"/>
      <x:c r="U113" s="1196"/>
      <x:c r="V113" s="1196"/>
      <x:c r="W113" s="1196"/>
      <x:c r="X113" s="1196"/>
    </x:row>
    <x:row r="114">
      <x:c r="A114" s="166" t="str">
        <x:v>Net offset as % of total participation payments</x:v>
      </x:c>
      <x:c r="B114" s="276" t="n">
        <x:f>IF(B21=0,0,B109/B21)</x:f>
        <x:v>-0.005242525050274894</x:v>
      </x:c>
      <x:c r="C114" s="276" t="n">
        <x:f>IF(C21=0,0,C109/C21)</x:f>
        <x:v>0.014357357582831477</x:v>
      </x:c>
      <x:c r="D114" s="276" t="n">
        <x:f>IF(D21=0,0,D109/D21)</x:f>
        <x:v>0.04665131706379025</x:v>
      </x:c>
      <x:c r="E114" s="26" t="str">
        <x:v>%</x:v>
      </x:c>
      <x:c r="F114" s="26"/>
      <x:c r="G114" s="581"/>
      <x:c r="H114" s="581"/>
      <x:c r="I114" s="581"/>
      <x:c r="J114" s="581"/>
      <x:c r="K114" s="581"/>
      <x:c r="L114" s="581"/>
      <x:c r="M114" s="581"/>
      <x:c r="U114" s="1196"/>
      <x:c r="V114" s="1196"/>
      <x:c r="W114" s="1196"/>
      <x:c r="X114" s="1196"/>
    </x:row>
    <x:row r="115">
      <x:c r="U115" s="1196"/>
      <x:c r="V115" s="1196"/>
      <x:c r="W115" s="1196"/>
      <x:c r="X115" s="1196"/>
    </x:row>
    <x:row r="116">
      <x:c r="U116" s="1196"/>
      <x:c r="V116" s="1196"/>
      <x:c r="W116" s="1196"/>
      <x:c r="X116" s="1196"/>
    </x:row>
    <x:row r="117">
      <x:c r="U117" s="1196"/>
      <x:c r="V117" s="1196"/>
      <x:c r="W117" s="1196"/>
      <x:c r="X117" s="1196"/>
    </x:row>
    <x:row r="118">
      <x:c r="U118" s="1196"/>
      <x:c r="V118" s="1196"/>
      <x:c r="W118" s="1196"/>
      <x:c r="X118" s="1196"/>
    </x:row>
    <x:row r="119">
      <x:c r="U119" s="1196"/>
      <x:c r="V119" s="1196"/>
      <x:c r="W119" s="1196"/>
      <x:c r="X119" s="1196"/>
    </x:row>
    <x:row r="120">
      <x:c r="U120" s="1196"/>
      <x:c r="V120" s="1196"/>
      <x:c r="W120" s="1196"/>
      <x:c r="X120" s="1196"/>
    </x:row>
    <x:row r="121">
      <x:c r="U121" s="1196"/>
      <x:c r="V121" s="1196"/>
      <x:c r="W121" s="1196"/>
      <x:c r="X121" s="1196"/>
    </x:row>
    <x:row r="122">
      <x:c r="U122" s="1196"/>
      <x:c r="V122" s="1196"/>
      <x:c r="W122" s="1196"/>
      <x:c r="X122" s="1196"/>
    </x:row>
    <x:row r="123">
      <x:c r="U123" s="1196"/>
      <x:c r="V123" s="1196"/>
      <x:c r="W123" s="1196"/>
      <x:c r="X123" s="1196"/>
    </x:row>
    <x:row r="124">
      <x:c r="U124" s="1196"/>
      <x:c r="V124" s="1196"/>
      <x:c r="W124" s="1196"/>
      <x:c r="X124" s="1196"/>
    </x:row>
    <x:row r="125">
      <x:c r="U125" s="1196"/>
      <x:c r="V125" s="1196"/>
      <x:c r="W125" s="1196"/>
      <x:c r="X125" s="1196"/>
    </x:row>
    <x:row r="126">
      <x:c r="U126" s="1196"/>
      <x:c r="V126" s="1196"/>
      <x:c r="W126" s="1196"/>
      <x:c r="X126" s="1196"/>
    </x:row>
    <x:row r="127">
      <x:c r="U127" s="1196"/>
      <x:c r="V127" s="1196"/>
      <x:c r="W127" s="1196"/>
      <x:c r="X127" s="1196"/>
    </x:row>
    <x:row r="128">
      <x:c r="U128" s="1196"/>
      <x:c r="V128" s="1196"/>
      <x:c r="W128" s="1196"/>
      <x:c r="X128" s="1196"/>
    </x:row>
    <x:row r="129">
      <x:c r="U129" s="1196"/>
      <x:c r="V129" s="1196"/>
      <x:c r="W129" s="1196"/>
      <x:c r="X129" s="1196"/>
    </x:row>
    <x:row r="130">
      <x:c r="U130" s="1196"/>
      <x:c r="V130" s="1196"/>
      <x:c r="W130" s="1196"/>
      <x:c r="X130" s="1196"/>
    </x:row>
    <x:row r="131">
      <x:c r="U131" s="1196"/>
      <x:c r="V131" s="1196"/>
      <x:c r="W131" s="1196"/>
      <x:c r="X131" s="1196"/>
    </x:row>
    <x:row r="132">
      <x:c r="U132" s="1196"/>
      <x:c r="V132" s="1196"/>
      <x:c r="W132" s="1196"/>
      <x:c r="X132" s="1196"/>
    </x:row>
    <x:row r="133">
      <x:c r="U133" s="1196"/>
      <x:c r="V133" s="1196"/>
      <x:c r="W133" s="1196"/>
      <x:c r="X133" s="1196"/>
    </x:row>
    <x:row r="134">
      <x:c r="U134" s="1196"/>
      <x:c r="V134" s="1196"/>
      <x:c r="W134" s="1196"/>
      <x:c r="X134" s="1196"/>
    </x:row>
    <x:row r="135">
      <x:c r="U135" s="1196"/>
      <x:c r="V135" s="1196"/>
      <x:c r="W135" s="1196"/>
      <x:c r="X135" s="1196"/>
    </x:row>
    <x:row r="136">
      <x:c r="U136" s="1196"/>
      <x:c r="V136" s="1196"/>
      <x:c r="W136" s="1196"/>
      <x:c r="X136" s="1196"/>
    </x:row>
    <x:row r="137">
      <x:c r="U137" s="1196"/>
      <x:c r="V137" s="1196"/>
      <x:c r="W137" s="1196"/>
      <x:c r="X137" s="1196"/>
    </x:row>
    <x:row r="138">
      <x:c r="U138" s="1196"/>
      <x:c r="V138" s="1196"/>
      <x:c r="W138" s="1196"/>
      <x:c r="X138" s="1196"/>
    </x:row>
    <x:row r="139">
      <x:c r="U139" s="1196"/>
      <x:c r="V139" s="1196"/>
      <x:c r="W139" s="1196"/>
      <x:c r="X139" s="1196"/>
    </x:row>
    <x:row r="140">
      <x:c r="U140" s="1196"/>
      <x:c r="V140" s="1196"/>
      <x:c r="W140" s="1196"/>
      <x:c r="X140" s="1196"/>
    </x:row>
    <x:row r="141">
      <x:c r="U141" s="1196"/>
      <x:c r="V141" s="1196"/>
      <x:c r="W141" s="1196"/>
      <x:c r="X141" s="1196"/>
    </x:row>
    <x:row r="142">
      <x:c r="U142" s="1196"/>
      <x:c r="V142" s="1196"/>
      <x:c r="W142" s="1196"/>
      <x:c r="X142" s="1196"/>
    </x:row>
    <x:row r="143">
      <x:c r="U143" s="1196"/>
      <x:c r="V143" s="1196"/>
      <x:c r="W143" s="1196"/>
      <x:c r="X143" s="1196"/>
    </x:row>
    <x:row r="144">
      <x:c r="U144" s="1196"/>
      <x:c r="V144" s="1196"/>
      <x:c r="W144" s="1196"/>
      <x:c r="X144" s="1196"/>
    </x:row>
    <x:row r="145">
      <x:c r="U145" s="1196"/>
      <x:c r="V145" s="1196"/>
      <x:c r="W145" s="1196"/>
      <x:c r="X145" s="1196"/>
    </x:row>
    <x:row r="146">
      <x:c r="U146" s="1196"/>
      <x:c r="V146" s="1196"/>
      <x:c r="W146" s="1196"/>
      <x:c r="X146" s="1196"/>
    </x:row>
    <x:row r="147">
      <x:c r="U147" s="1196"/>
      <x:c r="V147" s="1196"/>
      <x:c r="W147" s="1196"/>
      <x:c r="X147" s="1196"/>
    </x:row>
    <x:row r="148">
      <x:c r="U148" s="1196"/>
      <x:c r="V148" s="1196"/>
      <x:c r="W148" s="1196"/>
      <x:c r="X148" s="1196"/>
    </x:row>
    <x:row r="149">
      <x:c r="U149" s="1196"/>
      <x:c r="V149" s="1196"/>
      <x:c r="W149" s="1196"/>
      <x:c r="X149" s="1196"/>
    </x:row>
    <x:row r="150">
      <x:c r="U150" s="1196"/>
      <x:c r="V150" s="1196"/>
      <x:c r="W150" s="1196"/>
      <x:c r="X150" s="1196"/>
    </x:row>
    <x:row r="151">
      <x:c r="U151" s="1196"/>
      <x:c r="V151" s="1196"/>
      <x:c r="W151" s="1196"/>
      <x:c r="X151" s="1196"/>
    </x:row>
    <x:row r="152">
      <x:c r="U152" s="1196"/>
      <x:c r="V152" s="1196"/>
      <x:c r="W152" s="1196"/>
      <x:c r="X152" s="1196"/>
    </x:row>
    <x:row r="153">
      <x:c r="U153" s="1196"/>
      <x:c r="V153" s="1196"/>
      <x:c r="W153" s="1196"/>
      <x:c r="X153" s="1196"/>
    </x:row>
    <x:row r="154">
      <x:c r="U154" s="1196"/>
      <x:c r="V154" s="1196"/>
      <x:c r="W154" s="1196"/>
      <x:c r="X154" s="1196"/>
    </x:row>
    <x:row r="155">
      <x:c r="U155" s="1196"/>
      <x:c r="V155" s="1196"/>
      <x:c r="W155" s="1196"/>
      <x:c r="X155" s="1196"/>
    </x:row>
    <x:row r="156">
      <x:c r="U156" s="1196"/>
      <x:c r="V156" s="1196"/>
      <x:c r="W156" s="1196"/>
      <x:c r="X156" s="1196"/>
    </x:row>
    <x:row r="157">
      <x:c r="U157" s="1196"/>
      <x:c r="V157" s="1196"/>
      <x:c r="W157" s="1196"/>
      <x:c r="X157" s="1196"/>
    </x:row>
    <x:row r="158">
      <x:c r="U158" s="1196"/>
      <x:c r="V158" s="1196"/>
      <x:c r="W158" s="1196"/>
      <x:c r="X158" s="1196"/>
    </x:row>
    <x:row r="159">
      <x:c r="U159" s="1196"/>
      <x:c r="V159" s="1196"/>
      <x:c r="W159" s="1196"/>
      <x:c r="X159" s="1196"/>
    </x:row>
    <x:row r="160">
      <x:c r="U160" s="1196"/>
      <x:c r="V160" s="1196"/>
      <x:c r="W160" s="1196"/>
      <x:c r="X160" s="1196"/>
    </x:row>
    <x:row r="161">
      <x:c r="U161" s="1196"/>
      <x:c r="V161" s="1196"/>
      <x:c r="W161" s="1196"/>
      <x:c r="X161" s="1196"/>
    </x:row>
    <x:row r="162">
      <x:c r="U162" s="1196"/>
      <x:c r="V162" s="1196"/>
      <x:c r="W162" s="1196"/>
      <x:c r="X162" s="1196"/>
    </x:row>
    <x:row r="163">
      <x:c r="U163" s="1196"/>
      <x:c r="V163" s="1196"/>
      <x:c r="W163" s="1196"/>
      <x:c r="X163" s="1196"/>
    </x:row>
    <x:row r="164">
      <x:c r="U164" s="1196"/>
      <x:c r="V164" s="1196"/>
      <x:c r="W164" s="1196"/>
      <x:c r="X164" s="1196"/>
    </x:row>
    <x:row r="165">
      <x:c r="U165" s="1196"/>
      <x:c r="V165" s="1196"/>
      <x:c r="W165" s="1196"/>
      <x:c r="X165" s="1196"/>
    </x:row>
    <x:row r="166">
      <x:c r="U166" s="1196"/>
      <x:c r="V166" s="1196"/>
      <x:c r="W166" s="1196"/>
      <x:c r="X166" s="1196"/>
    </x:row>
    <x:row r="167">
      <x:c r="U167" s="1196"/>
      <x:c r="V167" s="1196"/>
      <x:c r="W167" s="1196"/>
      <x:c r="X167" s="1196"/>
    </x:row>
    <x:row r="168">
      <x:c r="U168" s="1196"/>
      <x:c r="V168" s="1196"/>
      <x:c r="W168" s="1196"/>
      <x:c r="X168" s="1196"/>
    </x:row>
    <x:row r="169">
      <x:c r="U169" s="1196"/>
      <x:c r="V169" s="1196"/>
      <x:c r="W169" s="1196"/>
      <x:c r="X169" s="1196"/>
    </x:row>
    <x:row r="170">
      <x:c r="U170" s="1196"/>
      <x:c r="V170" s="1196"/>
      <x:c r="W170" s="1196"/>
      <x:c r="X170" s="1196"/>
    </x:row>
    <x:row r="171">
      <x:c r="U171" s="1196"/>
      <x:c r="V171" s="1196"/>
      <x:c r="W171" s="1196"/>
      <x:c r="X171" s="1196"/>
    </x:row>
    <x:row r="172">
      <x:c r="U172" s="1196"/>
      <x:c r="V172" s="1196"/>
      <x:c r="W172" s="1196"/>
      <x:c r="X172" s="1196"/>
    </x:row>
    <x:row r="173">
      <x:c r="U173" s="1196"/>
      <x:c r="V173" s="1196"/>
      <x:c r="W173" s="1196"/>
      <x:c r="X173" s="1196"/>
    </x:row>
    <x:row r="174">
      <x:c r="U174" s="1196"/>
      <x:c r="V174" s="1196"/>
      <x:c r="W174" s="1196"/>
      <x:c r="X174" s="1196"/>
    </x:row>
    <x:row r="175">
      <x:c r="U175" s="1196"/>
      <x:c r="V175" s="1196"/>
      <x:c r="W175" s="1196"/>
      <x:c r="X175" s="1196"/>
    </x:row>
    <x:row r="176">
      <x:c r="U176" s="1196"/>
      <x:c r="V176" s="1196"/>
      <x:c r="W176" s="1196"/>
      <x:c r="X176" s="1196"/>
    </x:row>
    <x:row r="177">
      <x:c r="U177" s="1196"/>
      <x:c r="V177" s="1196"/>
      <x:c r="W177" s="1196"/>
      <x:c r="X177" s="1196"/>
    </x:row>
    <x:row r="178">
      <x:c r="U178" s="1196"/>
      <x:c r="V178" s="1196"/>
      <x:c r="W178" s="1196"/>
      <x:c r="X178" s="1196"/>
    </x:row>
    <x:row r="179">
      <x:c r="U179" s="1196"/>
      <x:c r="V179" s="1196"/>
      <x:c r="W179" s="1196"/>
      <x:c r="X179" s="1196"/>
    </x:row>
    <x:row r="180">
      <x:c r="U180" s="1196"/>
      <x:c r="V180" s="1196"/>
      <x:c r="W180" s="1196"/>
      <x:c r="X180" s="1196"/>
    </x:row>
    <x:row r="181">
      <x:c r="U181" s="1196"/>
      <x:c r="V181" s="1196"/>
      <x:c r="W181" s="1196"/>
      <x:c r="X181" s="1196"/>
    </x:row>
    <x:row r="182">
      <x:c r="U182" s="1196"/>
      <x:c r="V182" s="1196"/>
      <x:c r="W182" s="1196"/>
      <x:c r="X182" s="1196"/>
    </x:row>
    <x:row r="183">
      <x:c r="U183" s="1196"/>
      <x:c r="V183" s="1196"/>
      <x:c r="W183" s="1196"/>
      <x:c r="X183" s="1196"/>
    </x:row>
    <x:row r="184">
      <x:c r="U184" s="1196"/>
      <x:c r="V184" s="1196"/>
      <x:c r="W184" s="1196"/>
      <x:c r="X184" s="1196"/>
    </x:row>
    <x:row r="185">
      <x:c r="U185" s="1196"/>
      <x:c r="V185" s="1196"/>
      <x:c r="W185" s="1196"/>
      <x:c r="X185" s="1196"/>
    </x:row>
    <x:row r="186">
      <x:c r="U186" s="1196"/>
      <x:c r="V186" s="1196"/>
      <x:c r="W186" s="1196"/>
      <x:c r="X186" s="1196"/>
    </x:row>
    <x:row r="187">
      <x:c r="U187" s="1196"/>
      <x:c r="V187" s="1196"/>
      <x:c r="W187" s="1196"/>
      <x:c r="X187" s="1196"/>
    </x:row>
    <x:row r="188">
      <x:c r="U188" s="1196"/>
      <x:c r="V188" s="1196"/>
      <x:c r="W188" s="1196"/>
      <x:c r="X188" s="1196"/>
    </x:row>
    <x:row r="189">
      <x:c r="U189" s="1196"/>
      <x:c r="V189" s="1196"/>
      <x:c r="W189" s="1196"/>
      <x:c r="X189" s="1196"/>
    </x:row>
    <x:row r="190">
      <x:c r="U190" s="1196"/>
      <x:c r="V190" s="1196"/>
      <x:c r="W190" s="1196"/>
      <x:c r="X190" s="1196"/>
    </x:row>
    <x:row r="191">
      <x:c r="U191" s="1196"/>
      <x:c r="V191" s="1196"/>
      <x:c r="W191" s="1196"/>
      <x:c r="X191" s="1196"/>
    </x:row>
    <x:row r="192">
      <x:c r="U192" s="1196"/>
      <x:c r="V192" s="1196"/>
      <x:c r="W192" s="1196"/>
      <x:c r="X192" s="1196"/>
    </x:row>
    <x:row r="193">
      <x:c r="U193" s="1196"/>
      <x:c r="V193" s="1196"/>
      <x:c r="W193" s="1196"/>
      <x:c r="X193" s="1196"/>
    </x:row>
    <x:row r="194">
      <x:c r="U194" s="1196"/>
      <x:c r="V194" s="1196"/>
      <x:c r="W194" s="1196"/>
      <x:c r="X194" s="1196"/>
    </x:row>
    <x:row r="195">
      <x:c r="U195" s="1196"/>
      <x:c r="V195" s="1196"/>
      <x:c r="W195" s="1196"/>
      <x:c r="X195" s="1196"/>
    </x:row>
    <x:row r="196">
      <x:c r="U196" s="1196"/>
      <x:c r="V196" s="1196"/>
      <x:c r="W196" s="1196"/>
      <x:c r="X196" s="1196"/>
    </x:row>
    <x:row r="197">
      <x:c r="U197" s="1196"/>
      <x:c r="V197" s="1196"/>
      <x:c r="W197" s="1196"/>
      <x:c r="X197" s="1196"/>
    </x:row>
    <x:row r="198">
      <x:c r="U198" s="1196"/>
      <x:c r="V198" s="1196"/>
      <x:c r="W198" s="1196"/>
      <x:c r="X198" s="1196"/>
    </x:row>
    <x:row r="199">
      <x:c r="U199" s="1196"/>
      <x:c r="V199" s="1196"/>
      <x:c r="W199" s="1196"/>
      <x:c r="X199" s="1196"/>
    </x:row>
    <x:row r="200">
      <x:c r="U200" s="1196"/>
      <x:c r="V200" s="1196"/>
      <x:c r="W200" s="1196"/>
      <x:c r="X200" s="1196"/>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M1"/>
    <x:mergeCell ref="A2:M2"/>
    <x:mergeCell ref="A20:M20"/>
    <x:mergeCell ref="A40:M40"/>
    <x:mergeCell ref="A47:G47"/>
    <x:mergeCell ref="A49:M49"/>
    <x:mergeCell ref="A58:M58"/>
    <x:mergeCell ref="A59:M61"/>
    <x:mergeCell ref="A96:M96"/>
    <x:mergeCell ref="G97:M97"/>
    <x:mergeCell ref="G98:M114"/>
    <x:mergeCell ref="U1:X1"/>
    <x:mergeCell ref="V2:X2"/>
    <x:mergeCell ref="V3:X3"/>
    <x:mergeCell ref="V4:X4"/>
    <x:mergeCell ref="V5:X5"/>
    <x:mergeCell ref="V6:X6"/>
    <x:mergeCell ref="V7:X7"/>
  </x:mergeCells>
  <x:pageMargins left="0.7" right="0.7" top="0.75" bottom="0.75" header="0.3" footer="0.3"/>
</x:worksheet>
</file>

<file path=xl/worksheets/sheet20.xml><?xml version="1.0" encoding="utf-8"?>
<x:worksheet xmlns:x="http://schemas.openxmlformats.org/spreadsheetml/2006/main">
  <x:sheetFormatPr defaultRowHeight="15"/>
  <x:cols>
    <x:col min="1" max="1" width="9" hidden="0" customWidth="1"/>
    <x:col min="2" max="2" width="28" hidden="0" customWidth="1"/>
    <x:col min="3" max="3" width="16" hidden="0" customWidth="1"/>
    <x:col min="4" max="4" width="17" hidden="0" customWidth="1"/>
    <x:col min="5" max="5" width="17" hidden="0" customWidth="1"/>
    <x:col min="6" max="6" width="17" hidden="0" customWidth="1"/>
    <x:col min="7" max="7" width="14" hidden="0" customWidth="1"/>
    <x:col min="8" max="8" width="17" hidden="0" customWidth="1"/>
    <x:col min="9" max="9" width="17" hidden="0" customWidth="1"/>
    <x:col min="10" max="10" width="17" hidden="0" customWidth="1"/>
    <x:col min="11" max="11" width="18" hidden="0" customWidth="1"/>
    <x:col min="12" max="12" width="18" hidden="0" customWidth="1"/>
    <x:col min="13" max="13" width="18" hidden="0" customWidth="1"/>
    <x:col min="14" max="14" width="16" hidden="0" customWidth="1"/>
    <x:col min="15" max="15" width="18" hidden="0" customWidth="1"/>
    <x:col min="16" max="16" width="18" hidden="0" customWidth="1"/>
    <x:col min="17" max="17" width="18" hidden="0" customWidth="1"/>
    <x:col min="21" max="21" width="20" hidden="0" customWidth="1"/>
    <x:col min="22" max="22" width="24" hidden="0" customWidth="1"/>
    <x:col min="23" max="23" width="24" hidden="0" customWidth="1"/>
    <x:col min="24" max="24" width="24" hidden="0" customWidth="1"/>
  </x:cols>
  <x:sheetData>
    <x:row r="1" ht="30" customHeight="1">
      <x:c r="A1" s="533" t="str">
        <x:v>Fifteen-Year Learning Capital Cohort Bridge</x:v>
      </x:c>
      <x:c r="B1" s="533"/>
      <x:c r="C1" s="533"/>
      <x:c r="D1" s="533"/>
      <x:c r="E1" s="533"/>
      <x:c r="F1" s="533"/>
      <x:c r="G1" s="533"/>
      <x:c r="H1" s="533"/>
      <x:c r="I1" s="533"/>
      <x:c r="J1" s="533"/>
      <x:c r="K1" s="533"/>
      <x:c r="L1" s="533"/>
      <x:c r="M1" s="533"/>
      <x:c r="N1" s="533"/>
      <x:c r="O1" s="533"/>
      <x:c r="P1" s="533"/>
      <x:c r="Q1" s="533"/>
      <x:c r="U1" s="1196"/>
      <x:c r="V1" s="1196"/>
      <x:c r="W1" s="1196"/>
      <x:c r="X1" s="1196"/>
    </x:row>
    <x:row r="2" ht="28" customHeight="1">
      <x:c r="A2" s="537" t="str">
        <x:v>One central national annual entrant cohort. Secondary-school payments occur first; education withdrawals and student-loan offsets arise later.</x:v>
      </x:c>
      <x:c r="B2" s="537" t="str">
        <x:v>One central national annual entrant cohort. Secondary-school payments occur first; education withdrawals and student-loan offsets arise later.</x:v>
      </x:c>
      <x:c r="C2" s="537" t="str">
        <x:v>One central national annual entrant cohort. Secondary-school payments occur first; education withdrawals and student-loan offsets arise later.</x:v>
      </x:c>
      <x:c r="D2" s="537" t="str">
        <x:v>One central national annual entrant cohort. Secondary-school payments occur first; education withdrawals and student-loan offsets arise later.</x:v>
      </x:c>
      <x:c r="E2" s="537" t="str">
        <x:v>One central national annual entrant cohort. Secondary-school payments occur first; education withdrawals and student-loan offsets arise later.</x:v>
      </x:c>
      <x:c r="F2" s="537" t="str">
        <x:v>One central national annual entrant cohort. Secondary-school payments occur first; education withdrawals and student-loan offsets arise later.</x:v>
      </x:c>
      <x:c r="G2" s="537" t="str">
        <x:v>One central national annual entrant cohort. Secondary-school payments occur first; education withdrawals and student-loan offsets arise later.</x:v>
      </x:c>
      <x:c r="H2" s="537" t="str">
        <x:v>One central national annual entrant cohort. Secondary-school payments occur first; education withdrawals and student-loan offsets arise later.</x:v>
      </x:c>
      <x:c r="I2" s="537" t="str">
        <x:v>One central national annual entrant cohort. Secondary-school payments occur first; education withdrawals and student-loan offsets arise later.</x:v>
      </x:c>
      <x:c r="J2" s="537" t="str">
        <x:v>One central national annual entrant cohort. Secondary-school payments occur first; education withdrawals and student-loan offsets arise later.</x:v>
      </x:c>
      <x:c r="K2" s="537" t="str">
        <x:v>One central national annual entrant cohort. Secondary-school payments occur first; education withdrawals and student-loan offsets arise later.</x:v>
      </x:c>
      <x:c r="L2" s="537" t="str">
        <x:v>One central national annual entrant cohort. Secondary-school payments occur first; education withdrawals and student-loan offsets arise later.</x:v>
      </x:c>
      <x:c r="M2" s="537" t="str">
        <x:v>One central national annual entrant cohort. Secondary-school payments occur first; education withdrawals and student-loan offsets arise later.</x:v>
      </x:c>
      <x:c r="N2" s="537" t="str">
        <x:v>One central national annual entrant cohort. Secondary-school payments occur first; education withdrawals and student-loan offsets arise later.</x:v>
      </x:c>
      <x:c r="O2" s="537" t="str">
        <x:v>One central national annual entrant cohort. Secondary-school payments occur first; education withdrawals and student-loan offsets arise later.</x:v>
      </x:c>
      <x:c r="P2" s="537" t="str">
        <x:v>One central national annual entrant cohort. Secondary-school payments occur first; education withdrawals and student-loan offsets arise later.</x:v>
      </x:c>
      <x:c r="Q2" s="537" t="str">
        <x:v>One central national annual entrant cohort. Secondary-school payments occur first; education withdrawals and student-loan offsets arise later.</x:v>
      </x:c>
      <x:c r="U2" s="1201"/>
      <x:c r="V2" s="1201"/>
      <x:c r="W2" s="1201"/>
      <x:c r="X2" s="1201"/>
    </x:row>
    <x:row r="3">
      <x:c r="U3" s="1201"/>
      <x:c r="V3" s="1201"/>
      <x:c r="W3" s="1201"/>
      <x:c r="X3" s="1201"/>
    </x:row>
    <x:row r="4" ht="28" customHeight="1">
      <x:c r="A4" s="527" t="str">
        <x:v>Year</x:v>
      </x:c>
      <x:c r="B4" s="527" t="str">
        <x:v>Phase</x:v>
      </x:c>
      <x:c r="C4" s="527" t="str">
        <x:v>Participants / active accounts</x:v>
      </x:c>
      <x:c r="D4" s="527" t="str">
        <x:v>Immediate-access payments</x:v>
      </x:c>
      <x:c r="E4" s="527" t="str">
        <x:v>Learning Capital deposits</x:v>
      </x:c>
      <x:c r="F4" s="527" t="str">
        <x:v>Opening account assets</x:v>
      </x:c>
      <x:c r="G4" s="527" t="str">
        <x:v>Net investment return</x:v>
      </x:c>
      <x:c r="H4" s="527" t="str">
        <x:v>Investment earnings</x:v>
      </x:c>
      <x:c r="I4" s="527" t="str">
        <x:v>Tertiary withdrawals</x:v>
      </x:c>
      <x:c r="J4" s="527" t="str">
        <x:v>Apprenticeship withdrawals</x:v>
      </x:c>
      <x:c r="K4" s="527" t="str">
        <x:v>Closing account assets</x:v>
      </x:c>
      <x:c r="L4" s="527" t="str">
        <x:v>Gross student-loan lending displaced</x:v>
      </x:c>
      <x:c r="M4" s="527" t="str">
        <x:v>Official fair-value cost avoided</x:v>
      </x:c>
      <x:c r="N4" s="527" t="str">
        <x:v>Account administration</x:v>
      </x:c>
      <x:c r="O4" s="527" t="str">
        <x:v>Incremental tertiary-system cost</x:v>
      </x:c>
      <x:c r="P4" s="527" t="str">
        <x:v>Net Crown fiscal offset</x:v>
      </x:c>
      <x:c r="Q4" s="527" t="str">
        <x:v>Present value of net Crown offset</x:v>
      </x:c>
      <x:c r="U4" s="1201"/>
      <x:c r="V4" s="1201"/>
      <x:c r="W4" s="1201"/>
      <x:c r="X4" s="1201"/>
    </x:row>
    <x:row r="5">
      <x:c r="A5" t="n">
        <x:v>1</x:v>
      </x:c>
      <x:c r="B5" t="str">
        <x:v>Secondary participation</x:v>
      </x:c>
      <x:c r="C5" s="263" t="n">
        <x:f>Assumptions!$E$32/Assumptions!$E$33</x:f>
        <x:v>62348.6</x:v>
      </x:c>
      <x:c r="D5" s="160" t="n">
        <x:f>'Learning Capital &amp; ROI'!$C$11*C5</x:f>
        <x:v>121579770</x:v>
      </x:c>
      <x:c r="E5" s="160" t="n">
        <x:f>'Learning Capital &amp; ROI'!$C$12*C5</x:f>
        <x:v>121579770</x:v>
      </x:c>
      <x:c r="F5" s="160" t="n">
        <x:f>0</x:f>
        <x:v>0</x:v>
      </x:c>
      <x:c r="G5" s="264" t="n">
        <x:f>'Learning Capital &amp; ROI'!$C$18</x:f>
        <x:v>0.04</x:v>
      </x:c>
      <x:c r="H5" s="160" t="n">
        <x:f>(F5+0.5*E5-0.5*(I5+J5))*G5</x:f>
        <x:v>2431595.4</x:v>
      </x:c>
      <x:c r="I5" s="160" t="n">
        <x:v>0</x:v>
      </x:c>
      <x:c r="J5" s="160" t="n">
        <x:v>0</x:v>
      </x:c>
      <x:c r="K5" s="160" t="n">
        <x:f>MAX(0,F5+E5+H5-I5-J5)</x:f>
        <x:v>124011365.4</x:v>
      </x:c>
      <x:c r="L5" s="160" t="n">
        <x:f>(I5+J5)*Assumptions!$E$73*Assumptions!$E$74</x:f>
        <x:v>0</x:v>
      </x:c>
      <x:c r="M5" s="160" t="n">
        <x:f>L5*Assumptions!$E$80</x:f>
        <x:v>0</x:v>
      </x:c>
      <x:c r="N5" s="160" t="n">
        <x:f>C5*Assumptions!$E$63</x:f>
        <x:v>1558715</x:v>
      </x:c>
      <x:c r="O5" s="160" t="n">
        <x:v>0</x:v>
      </x:c>
      <x:c r="P5" s="160" t="n">
        <x:f>M5-N5-O5</x:f>
        <x:v>-1558715</x:v>
      </x:c>
      <x:c r="Q5" s="160" t="n">
        <x:f>P5/((1+Assumptions!$E$109+Assumptions!$E$86+Assumptions!$E$87))</x:f>
        <x:v>-1495600.6524659374</x:v>
      </x:c>
      <x:c r="U5" s="1201"/>
      <x:c r="V5" s="1201"/>
      <x:c r="W5" s="1201"/>
      <x:c r="X5" s="1201"/>
    </x:row>
    <x:row r="6">
      <x:c r="A6" t="n">
        <x:v>2</x:v>
      </x:c>
      <x:c r="B6" t="str">
        <x:v>Secondary participation</x:v>
      </x:c>
      <x:c r="C6" s="263" t="n">
        <x:f>Assumptions!$E$32/Assumptions!$E$33</x:f>
        <x:v>62348.6</x:v>
      </x:c>
      <x:c r="D6" s="160" t="n">
        <x:f>'Learning Capital &amp; ROI'!$C$11*C6</x:f>
        <x:v>121579770</x:v>
      </x:c>
      <x:c r="E6" s="160" t="n">
        <x:f>'Learning Capital &amp; ROI'!$C$12*C6</x:f>
        <x:v>121579770</x:v>
      </x:c>
      <x:c r="F6" s="160" t="n">
        <x:f>K5</x:f>
        <x:v>124011365.4</x:v>
      </x:c>
      <x:c r="G6" s="264" t="n">
        <x:f>'Learning Capital &amp; ROI'!$C$18</x:f>
        <x:v>0.04</x:v>
      </x:c>
      <x:c r="H6" s="160" t="n">
        <x:f>(F6+0.5*E6-0.5*(I6+J6))*G6</x:f>
        <x:v>7392050.016000001</x:v>
      </x:c>
      <x:c r="I6" s="160" t="n">
        <x:v>0</x:v>
      </x:c>
      <x:c r="J6" s="160" t="n">
        <x:v>0</x:v>
      </x:c>
      <x:c r="K6" s="160" t="n">
        <x:f>MAX(0,F6+E6+H6-I6-J6)</x:f>
        <x:v>252983185.416</x:v>
      </x:c>
      <x:c r="L6" s="160" t="n">
        <x:f>(I6+J6)*Assumptions!$E$73*Assumptions!$E$74</x:f>
        <x:v>0</x:v>
      </x:c>
      <x:c r="M6" s="160" t="n">
        <x:f>L6*Assumptions!$E$80</x:f>
        <x:v>0</x:v>
      </x:c>
      <x:c r="N6" s="160" t="n">
        <x:f>C6*Assumptions!$E$63</x:f>
        <x:v>1558715</x:v>
      </x:c>
      <x:c r="O6" s="160" t="n">
        <x:v>0</x:v>
      </x:c>
      <x:c r="P6" s="160" t="n">
        <x:f>M6-N6-O6</x:f>
        <x:v>-1558715</x:v>
      </x:c>
      <x:c r="Q6" s="160" t="n">
        <x:f>P6/((1+Assumptions!$E$109+Assumptions!$E$86+Assumptions!$E$87)*(1+Assumptions!$E$110+Assumptions!$E$86+Assumptions!$E$87))</x:f>
        <x:v>-1424381.573777083</x:v>
      </x:c>
      <x:c r="U6" s="1201"/>
      <x:c r="V6" s="1201"/>
      <x:c r="W6" s="1201"/>
      <x:c r="X6" s="1201"/>
    </x:row>
    <x:row r="7">
      <x:c r="A7" t="n">
        <x:v>3</x:v>
      </x:c>
      <x:c r="B7" t="str">
        <x:v>Secondary participation</x:v>
      </x:c>
      <x:c r="C7" s="263" t="n">
        <x:f>Assumptions!$E$32/Assumptions!$E$33</x:f>
        <x:v>62348.6</x:v>
      </x:c>
      <x:c r="D7" s="160" t="n">
        <x:f>'Learning Capital &amp; ROI'!$C$11*C7</x:f>
        <x:v>121579770</x:v>
      </x:c>
      <x:c r="E7" s="160" t="n">
        <x:f>'Learning Capital &amp; ROI'!$C$12*C7</x:f>
        <x:v>121579770</x:v>
      </x:c>
      <x:c r="F7" s="160" t="n">
        <x:f>K6</x:f>
        <x:v>252983185.416</x:v>
      </x:c>
      <x:c r="G7" s="264" t="n">
        <x:f>'Learning Capital &amp; ROI'!$C$18</x:f>
        <x:v>0.04</x:v>
      </x:c>
      <x:c r="H7" s="160" t="n">
        <x:f>(F7+0.5*E7-0.5*(I7+J7))*G7</x:f>
        <x:v>12550922.81664</x:v>
      </x:c>
      <x:c r="I7" s="160" t="n">
        <x:v>0</x:v>
      </x:c>
      <x:c r="J7" s="160" t="n">
        <x:v>0</x:v>
      </x:c>
      <x:c r="K7" s="160" t="n">
        <x:f>MAX(0,F7+E7+H7-I7-J7)</x:f>
        <x:v>387113878.23264</x:v>
      </x:c>
      <x:c r="L7" s="160" t="n">
        <x:f>(I7+J7)*Assumptions!$E$73*Assumptions!$E$74</x:f>
        <x:v>0</x:v>
      </x:c>
      <x:c r="M7" s="160" t="n">
        <x:f>L7*Assumptions!$E$80</x:f>
        <x:v>0</x:v>
      </x:c>
      <x:c r="N7" s="160" t="n">
        <x:f>C7*Assumptions!$E$63</x:f>
        <x:v>1558715</x:v>
      </x:c>
      <x:c r="O7" s="160" t="n">
        <x:v>0</x:v>
      </x:c>
      <x:c r="P7" s="160" t="n">
        <x:f>M7-N7-O7</x:f>
        <x:v>-1558715</x:v>
      </x:c>
      <x:c r="Q7" s="160" t="n">
        <x:f>P7/((1+Assumptions!$E$109+Assumptions!$E$86+Assumptions!$E$87)*(1+Assumptions!$E$110+Assumptions!$E$86+Assumptions!$E$87)*(1+Assumptions!$E$111+Assumptions!$E$86+Assumptions!$E$87))</x:f>
        <x:v>-1353331.6615459223</x:v>
      </x:c>
      <x:c r="U7" s="1201"/>
      <x:c r="V7" s="1201"/>
      <x:c r="W7" s="1201"/>
      <x:c r="X7" s="1201"/>
    </x:row>
    <x:row r="8">
      <x:c r="A8" t="n">
        <x:v>4</x:v>
      </x:c>
      <x:c r="B8" t="str">
        <x:v>Secondary participation</x:v>
      </x:c>
      <x:c r="C8" s="263" t="n">
        <x:f>Assumptions!$E$32/Assumptions!$E$33</x:f>
        <x:v>62348.6</x:v>
      </x:c>
      <x:c r="D8" s="160" t="n">
        <x:f>'Learning Capital &amp; ROI'!$C$11*C8</x:f>
        <x:v>121579770</x:v>
      </x:c>
      <x:c r="E8" s="160" t="n">
        <x:f>'Learning Capital &amp; ROI'!$C$12*C8</x:f>
        <x:v>121579770</x:v>
      </x:c>
      <x:c r="F8" s="160" t="n">
        <x:f>K7</x:f>
        <x:v>387113878.23264</x:v>
      </x:c>
      <x:c r="G8" s="264" t="n">
        <x:f>MAX('Learning Capital &amp; ROI'!$C$18-Assumptions!$E$61,-0.99)</x:f>
        <x:v>0.035</x:v>
      </x:c>
      <x:c r="H8" s="160" t="n">
        <x:f>(F8+0.5*E8-0.5*(I8+J8))*G8</x:f>
        <x:v>15676631.713142402</x:v>
      </x:c>
      <x:c r="I8" s="160" t="n">
        <x:v>0</x:v>
      </x:c>
      <x:c r="J8" s="160" t="n">
        <x:v>0</x:v>
      </x:c>
      <x:c r="K8" s="160" t="n">
        <x:f>MAX(0,F8+E8+H8-I8-J8)</x:f>
        <x:v>524370279.9457824</x:v>
      </x:c>
      <x:c r="L8" s="160" t="n">
        <x:f>(I8+J8)*Assumptions!$E$73*Assumptions!$E$74</x:f>
        <x:v>0</x:v>
      </x:c>
      <x:c r="M8" s="160" t="n">
        <x:f>L8*Assumptions!$E$80</x:f>
        <x:v>0</x:v>
      </x:c>
      <x:c r="N8" s="160" t="n">
        <x:f>C8*Assumptions!$E$63</x:f>
        <x:v>1558715</x:v>
      </x:c>
      <x:c r="O8" s="160" t="n">
        <x:v>0</x:v>
      </x:c>
      <x:c r="P8" s="160" t="n">
        <x:f>M8-N8-O8</x:f>
        <x:v>-1558715</x:v>
      </x:c>
      <x:c r="Q8" s="160" t="n">
        <x:f>P8/((1+Assumptions!$E$109+Assumptions!$E$86+Assumptions!$E$87)*(1+Assumptions!$E$110+Assumptions!$E$86+Assumptions!$E$87)*(1+Assumptions!$E$111+Assumptions!$E$86+Assumptions!$E$87)*(1+Assumptions!$E$112+Assumptions!$E$86+Assumptions!$E$87))</x:f>
        <x:v>-1282535.691381655</x:v>
      </x:c>
      <x:c r="U8" s="1196"/>
      <x:c r="V8" s="1196"/>
      <x:c r="W8" s="1196"/>
      <x:c r="X8" s="1196"/>
    </x:row>
    <x:row r="9">
      <x:c r="A9" t="n">
        <x:v>5</x:v>
      </x:c>
      <x:c r="B9" t="str">
        <x:v>Secondary participation</x:v>
      </x:c>
      <x:c r="C9" s="263" t="n">
        <x:f>Assumptions!$E$32/Assumptions!$E$33</x:f>
        <x:v>62348.6</x:v>
      </x:c>
      <x:c r="D9" s="160" t="n">
        <x:f>'Learning Capital &amp; ROI'!$C$11*C9</x:f>
        <x:v>121579770</x:v>
      </x:c>
      <x:c r="E9" s="160" t="n">
        <x:f>'Learning Capital &amp; ROI'!$C$12*C9</x:f>
        <x:v>121579770</x:v>
      </x:c>
      <x:c r="F9" s="160" t="n">
        <x:f>K8</x:f>
        <x:v>524370279.9457824</x:v>
      </x:c>
      <x:c r="G9" s="264" t="n">
        <x:f>MAX('Learning Capital &amp; ROI'!$C$18-Assumptions!$E$62,-0.99)</x:f>
        <x:v>0.03</x:v>
      </x:c>
      <x:c r="H9" s="160" t="n">
        <x:f>(F9+0.5*E9-0.5*(I9+J9))*G9</x:f>
        <x:v>17554804.94837347</x:v>
      </x:c>
      <x:c r="I9" s="160" t="n">
        <x:v>0</x:v>
      </x:c>
      <x:c r="J9" s="160" t="n">
        <x:v>0</x:v>
      </x:c>
      <x:c r="K9" s="160" t="n">
        <x:f>MAX(0,F9+E9+H9-I9-J9)</x:f>
        <x:v>663504854.8941559</x:v>
      </x:c>
      <x:c r="L9" s="160" t="n">
        <x:f>(I9+J9)*Assumptions!$E$73*Assumptions!$E$74</x:f>
        <x:v>0</x:v>
      </x:c>
      <x:c r="M9" s="160" t="n">
        <x:f>L9*Assumptions!$E$80</x:f>
        <x:v>0</x:v>
      </x:c>
      <x:c r="N9" s="160" t="n">
        <x:f>C9*Assumptions!$E$63</x:f>
        <x:v>1558715</x:v>
      </x:c>
      <x:c r="O9" s="160" t="n">
        <x:v>0</x:v>
      </x:c>
      <x:c r="P9" s="160" t="n">
        <x:f>M9-N9-O9</x:f>
        <x:v>-1558715</x:v>
      </x:c>
      <x:c r="Q9" s="160" t="n">
        <x:f>P9/((1+Assumptions!$E$109+Assumptions!$E$86+Assumptions!$E$87)*(1+Assumptions!$E$110+Assumptions!$E$86+Assumptions!$E$87)*(1+Assumptions!$E$111+Assumptions!$E$86+Assumptions!$E$87)*(1+Assumptions!$E$112+Assumptions!$E$86+Assumptions!$E$87)*(1+Assumptions!$E$113+Assumptions!$E$86+Assumptions!$E$87))</x:f>
        <x:v>-1212341.139409826</x:v>
      </x:c>
      <x:c r="U9" s="1196"/>
      <x:c r="V9" s="1196"/>
      <x:c r="W9" s="1196"/>
      <x:c r="X9" s="1196"/>
    </x:row>
    <x:row r="10">
      <x:c r="A10" t="n">
        <x:v>6</x:v>
      </x:c>
      <x:c r="B10" t="str">
        <x:v>Education / apprenticeship withdrawals</x:v>
      </x:c>
      <x:c r="C10" s="263" t="n">
        <x:f>Assumptions!$E$32/Assumptions!$E$33</x:f>
        <x:v>62348.6</x:v>
      </x:c>
      <x:c r="D10" s="160" t="n">
        <x:f>0</x:f>
        <x:v>0</x:v>
      </x:c>
      <x:c r="E10" s="160" t="n">
        <x:f>0</x:f>
        <x:v>0</x:v>
      </x:c>
      <x:c r="F10" s="160" t="n">
        <x:f>K9</x:f>
        <x:v>663504854.8941559</x:v>
      </x:c>
      <x:c r="G10" s="264" t="n">
        <x:f>Assumptions!$E$95</x:f>
        <x:v>0.0231</x:v>
      </x:c>
      <x:c r="H10" s="160" t="n">
        <x:f>(F10+0.5*E10-0.5*(I10+J10))*G10</x:f>
        <x:v>13962862.516878104</x:v>
      </x:c>
      <x:c r="I10" s="160" t="n">
        <x:f>$K$9*Assumptions!$E$70*Assumptions!$E$72*0.35</x:f>
        <x:v>102179747.65370001</x:v>
      </x:c>
      <x:c r="J10" s="160" t="n">
        <x:f>$K$9*Assumptions!$E$71*Assumptions!$E$72*0.25</x:f>
        <x:v>15924116.517459743</x:v>
      </x:c>
      <x:c r="K10" s="160" t="n">
        <x:f>MAX(0,F10+E10+H10-I10-J10)</x:f>
        <x:v>559363853.2398742</x:v>
      </x:c>
      <x:c r="L10" s="160" t="n">
        <x:f>(I10+J10)*Assumptions!$E$73*Assumptions!$E$74</x:f>
        <x:v>56689854.80215668</x:v>
      </x:c>
      <x:c r="M10" s="160" t="n">
        <x:f>L10*Assumptions!$E$80</x:f>
        <x:v>19410606.284258448</x:v>
      </x:c>
      <x:c r="N10" s="160" t="n">
        <x:f>C10*Assumptions!$E$63</x:f>
        <x:v>1558715</x:v>
      </x:c>
      <x:c r="O10" s="160" t="n">
        <x:f>Assumptions!$E$32/Assumptions!$E$33*(Assumptions!$E$70+Assumptions!$E$71)*Assumptions!$E$76*Assumptions!$E$89</x:f>
        <x:v>33418849.6</x:v>
      </x:c>
      <x:c r="P10" s="160" t="n">
        <x:f>M10-N10-O10</x:f>
        <x:v>-15566958.315741554</x:v>
      </x:c>
      <x:c r="Q10" s="160" t="n">
        <x:f>P10/((1+Assumptions!$E$109+Assumptions!$E$86+Assumptions!$E$87)*(1+Assumptions!$E$110+Assumptions!$E$86+Assumptions!$E$87)*(1+Assumptions!$E$111+Assumptions!$E$86+Assumptions!$E$87)*(1+Assumptions!$E$112+Assumptions!$E$86+Assumptions!$E$87)*(1+Assumptions!$E$113+Assumptions!$E$86+Assumptions!$E$87)*(1+Assumptions!$E$114+Assumptions!$E$86+Assumptions!$E$87))</x:f>
        <x:v>-11414826.677536031</x:v>
      </x:c>
      <x:c r="U10" s="1196"/>
      <x:c r="V10" s="1196"/>
      <x:c r="W10" s="1196"/>
      <x:c r="X10" s="1196"/>
    </x:row>
    <x:row r="11">
      <x:c r="A11" t="n">
        <x:v>7</x:v>
      </x:c>
      <x:c r="B11" t="str">
        <x:v>Education / apprenticeship withdrawals</x:v>
      </x:c>
      <x:c r="C11" s="263" t="n">
        <x:f>Assumptions!$E$32/Assumptions!$E$33</x:f>
        <x:v>62348.6</x:v>
      </x:c>
      <x:c r="D11" s="160" t="n">
        <x:f>0</x:f>
        <x:v>0</x:v>
      </x:c>
      <x:c r="E11" s="160" t="n">
        <x:f>0</x:f>
        <x:v>0</x:v>
      </x:c>
      <x:c r="F11" s="160" t="n">
        <x:f>K10</x:f>
        <x:v>559363853.2398742</x:v>
      </x:c>
      <x:c r="G11" s="264" t="n">
        <x:f>Assumptions!$E$95</x:f>
        <x:v>0.0231</x:v>
      </x:c>
      <x:c r="H11" s="160" t="n">
        <x:f>(F11+0.5*E11-0.5*(I11+J11))*G11</x:f>
        <x:v>11931183.255076742</x:v>
      </x:c>
      <x:c r="I11" s="160" t="n">
        <x:f>$K$9*Assumptions!$E$70*Assumptions!$E$72*0.25</x:f>
        <x:v>72985534.03835715</x:v>
      </x:c>
      <x:c r="J11" s="160" t="n">
        <x:f>$K$9*Assumptions!$E$71*Assumptions!$E$72*0.2</x:f>
        <x:v>12739293.213967795</x:v>
      </x:c>
      <x:c r="K11" s="160" t="n">
        <x:f>MAX(0,F11+E11+H11-I11-J11)</x:f>
        <x:v>485570209.2426261</x:v>
      </x:c>
      <x:c r="L11" s="160" t="n">
        <x:f>(I11+J11)*Assumptions!$E$73*Assumptions!$E$74</x:f>
        <x:v>41147917.08111598</x:v>
      </x:c>
      <x:c r="M11" s="160" t="n">
        <x:f>L11*Assumptions!$E$80</x:f>
        <x:v>14089046.808574112</x:v>
      </x:c>
      <x:c r="N11" s="160" t="n">
        <x:f>C11*Assumptions!$E$63</x:f>
        <x:v>1558715</x:v>
      </x:c>
      <x:c r="O11" s="160" t="n">
        <x:v>0</x:v>
      </x:c>
      <x:c r="P11" s="160" t="n">
        <x:f>M11-N11-O11</x:f>
        <x:v>12530331.808574112</x:v>
      </x:c>
      <x:c r="Q11" s="160" t="n">
        <x:f>P11/((1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x:f>
        <x:v>8650928.482022906</x:v>
      </x:c>
      <x:c r="U11" s="1196"/>
      <x:c r="V11" s="1196"/>
      <x:c r="W11" s="1196"/>
      <x:c r="X11" s="1196"/>
    </x:row>
    <x:row r="12">
      <x:c r="A12" t="n">
        <x:v>8</x:v>
      </x:c>
      <x:c r="B12" t="str">
        <x:v>Education / apprenticeship withdrawals</x:v>
      </x:c>
      <x:c r="C12" s="263" t="n">
        <x:f>Assumptions!$E$32/Assumptions!$E$33</x:f>
        <x:v>62348.6</x:v>
      </x:c>
      <x:c r="D12" s="160" t="n">
        <x:f>0</x:f>
        <x:v>0</x:v>
      </x:c>
      <x:c r="E12" s="160" t="n">
        <x:f>0</x:f>
        <x:v>0</x:v>
      </x:c>
      <x:c r="F12" s="160" t="n">
        <x:f>K11</x:f>
        <x:v>485570209.2426261</x:v>
      </x:c>
      <x:c r="G12" s="264" t="n">
        <x:f>Assumptions!$E$95</x:f>
        <x:v>0.0231</x:v>
      </x:c>
      <x:c r="H12" s="160" t="n">
        <x:f>(F12+0.5*E12-0.5*(I12+J12))*G12</x:f>
        <x:v>10395146.662368914</x:v>
      </x:c>
      <x:c r="I12" s="160" t="n">
        <x:f>$K$9*Assumptions!$E$70*Assumptions!$E$72*0.2</x:f>
        <x:v>58388427.230685726</x:v>
      </x:c>
      <x:c r="J12" s="160" t="n">
        <x:f>$K$9*Assumptions!$E$71*Assumptions!$E$72*0.2</x:f>
        <x:v>12739293.213967795</x:v>
      </x:c>
      <x:c r="K12" s="160" t="n">
        <x:f>MAX(0,F12+E12+H12-I12-J12)</x:f>
        <x:v>424837635.46034145</x:v>
      </x:c>
      <x:c r="L12" s="160" t="n">
        <x:f>(I12+J12)*Assumptions!$E$73*Assumptions!$E$74</x:f>
        <x:v>34141305.81343369</x:v>
      </x:c>
      <x:c r="M12" s="160" t="n">
        <x:f>L12*Assumptions!$E$80</x:f>
        <x:v>11689983.110519696</x:v>
      </x:c>
      <x:c r="N12" s="160" t="n">
        <x:f>C12*Assumptions!$E$63</x:f>
        <x:v>1558715</x:v>
      </x:c>
      <x:c r="O12" s="160" t="n">
        <x:v>0</x:v>
      </x:c>
      <x:c r="P12" s="160" t="n">
        <x:f>M12-N12-O12</x:f>
        <x:v>10131268.110519696</x:v>
      </x:c>
      <x:c r="Q12" s="160" t="n">
        <x:f>P12/((1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x:f>
        <x:v>6579453.78329761</x:v>
      </x:c>
      <x:c r="U12" s="1196"/>
      <x:c r="V12" s="1196"/>
      <x:c r="W12" s="1196"/>
      <x:c r="X12" s="1196"/>
    </x:row>
    <x:row r="13">
      <x:c r="A13" t="n">
        <x:v>9</x:v>
      </x:c>
      <x:c r="B13" t="str">
        <x:v>Education / apprenticeship withdrawals</x:v>
      </x:c>
      <x:c r="C13" s="263" t="n">
        <x:f>Assumptions!$E$32/Assumptions!$E$33</x:f>
        <x:v>62348.6</x:v>
      </x:c>
      <x:c r="D13" s="160" t="n">
        <x:f>0</x:f>
        <x:v>0</x:v>
      </x:c>
      <x:c r="E13" s="160" t="n">
        <x:f>0</x:f>
        <x:v>0</x:v>
      </x:c>
      <x:c r="F13" s="160" t="n">
        <x:f>K12</x:f>
        <x:v>424837635.46034145</x:v>
      </x:c>
      <x:c r="G13" s="264" t="n">
        <x:f>Assumptions!$E$95</x:f>
        <x:v>0.0231</x:v>
      </x:c>
      <x:c r="H13" s="160" t="n">
        <x:f>(F13+0.5*E13-0.5*(I13+J13))*G13</x:f>
        <x:v>8992224.20799814</x:v>
      </x:c>
      <x:c r="I13" s="160" t="n">
        <x:f>$K$9*Assumptions!$E$70*Assumptions!$E$72*0.2</x:f>
        <x:v>58388427.230685726</x:v>
      </x:c>
      <x:c r="J13" s="160" t="n">
        <x:f>$K$9*Assumptions!$E$71*Assumptions!$E$72*0.2</x:f>
        <x:v>12739293.213967795</x:v>
      </x:c>
      <x:c r="K13" s="160" t="n">
        <x:f>MAX(0,F13+E13+H13-I13-J13)</x:f>
        <x:v>362702139.2236861</x:v>
      </x:c>
      <x:c r="L13" s="160" t="n">
        <x:f>(I13+J13)*Assumptions!$E$73*Assumptions!$E$74</x:f>
        <x:v>34141305.81343369</x:v>
      </x:c>
      <x:c r="M13" s="160" t="n">
        <x:f>L13*Assumptions!$E$80</x:f>
        <x:v>11689983.110519696</x:v>
      </x:c>
      <x:c r="N13" s="160" t="n">
        <x:f>C13*Assumptions!$E$63</x:f>
        <x:v>1558715</x:v>
      </x:c>
      <x:c r="O13" s="160" t="n">
        <x:v>0</x:v>
      </x:c>
      <x:c r="P13" s="160" t="n">
        <x:f>M13-N13-O13</x:f>
        <x:v>10131268.110519696</x:v>
      </x:c>
      <x:c r="Q13" s="160" t="n">
        <x:f>P13/((1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x:f>
        <x:v>6181954.132573156</x:v>
      </x:c>
      <x:c r="U13" s="1196"/>
      <x:c r="V13" s="1196"/>
      <x:c r="W13" s="1196"/>
      <x:c r="X13" s="1196"/>
    </x:row>
    <x:row r="14">
      <x:c r="A14" t="n">
        <x:v>10</x:v>
      </x:c>
      <x:c r="B14" t="str">
        <x:v>Education / apprenticeship withdrawals</x:v>
      </x:c>
      <x:c r="C14" s="263" t="n">
        <x:f>Assumptions!$E$32/Assumptions!$E$33</x:f>
        <x:v>62348.6</x:v>
      </x:c>
      <x:c r="D14" s="160" t="n">
        <x:f>0</x:f>
        <x:v>0</x:v>
      </x:c>
      <x:c r="E14" s="160" t="n">
        <x:f>0</x:f>
        <x:v>0</x:v>
      </x:c>
      <x:c r="F14" s="160" t="n">
        <x:f>K13</x:f>
        <x:v>362702139.2236861</x:v>
      </x:c>
      <x:c r="G14" s="264" t="n">
        <x:f>Assumptions!$E$95</x:f>
        <x:v>0.0231</x:v>
      </x:c>
      <x:c r="H14" s="160" t="n">
        <x:f>(F14+0.5*E14-0.5*(I14+J14))*G14</x:f>
        <x:v>8268065.288601153</x:v>
      </x:c>
      <x:c r="I14" s="160" t="n">
        <x:v>0</x:v>
      </x:c>
      <x:c r="J14" s="160" t="n">
        <x:f>$K$9*Assumptions!$E$71*Assumptions!$E$72*0.15</x:f>
        <x:v>9554469.910475845</x:v>
      </x:c>
      <x:c r="K14" s="160" t="n">
        <x:f>MAX(0,F14+E14+H14-I14-J14)</x:f>
        <x:v>361415734.6018114</x:v>
      </x:c>
      <x:c r="L14" s="160" t="n">
        <x:f>(I14+J14)*Assumptions!$E$73*Assumptions!$E$74</x:f>
        <x:v>4586145.557028405</x:v>
      </x:c>
      <x:c r="M14" s="160" t="n">
        <x:f>L14*Assumptions!$E$80</x:f>
        <x:v>1570296.2387265258</x:v>
      </x:c>
      <x:c r="N14" s="160" t="n">
        <x:f>C14*Assumptions!$E$63</x:f>
        <x:v>1558715</x:v>
      </x:c>
      <x:c r="O14" s="160" t="n">
        <x:v>0</x:v>
      </x:c>
      <x:c r="P14" s="160" t="n">
        <x:f>M14-N14-O14</x:f>
        <x:v>11581.2387265258</x:v>
      </x:c>
      <x:c r="Q14" s="160" t="n">
        <x:f>P14/((1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x:f>
        <x:v>6631.667937899892</x:v>
      </x:c>
      <x:c r="U14" s="1196"/>
      <x:c r="V14" s="1196"/>
      <x:c r="W14" s="1196"/>
      <x:c r="X14" s="1196"/>
    </x:row>
    <x:row r="15">
      <x:c r="A15" t="n">
        <x:v>11</x:v>
      </x:c>
      <x:c r="B15" t="str">
        <x:v>Protected residual balance</x:v>
      </x:c>
      <x:c r="C15" s="263" t="n">
        <x:f>Assumptions!$E$32/Assumptions!$E$33*(1-(Assumptions!$E$70+Assumptions!$E$71)*Assumptions!$E$72)</x:f>
        <x:v>28929.750399999997</x:v>
      </x:c>
      <x:c r="D15" s="160" t="n">
        <x:f>0</x:f>
        <x:v>0</x:v>
      </x:c>
      <x:c r="E15" s="160" t="n">
        <x:f>0</x:f>
        <x:v>0</x:v>
      </x:c>
      <x:c r="F15" s="160" t="n">
        <x:f>K14</x:f>
        <x:v>361415734.6018114</x:v>
      </x:c>
      <x:c r="G15" s="264" t="n">
        <x:f>Assumptions!$E$95</x:f>
        <x:v>0.0231</x:v>
      </x:c>
      <x:c r="H15" s="160" t="n">
        <x:f>(F15+0.5*E15-0.5*(I15+J15))*G15</x:f>
        <x:v>8348703.469301843</x:v>
      </x:c>
      <x:c r="I15" s="160" t="n">
        <x:v>0</x:v>
      </x:c>
      <x:c r="J15" s="160" t="n">
        <x:v>0</x:v>
      </x:c>
      <x:c r="K15" s="160" t="n">
        <x:f>MAX(0,F15+E15+H15-I15-J15)</x:f>
        <x:v>369764438.0711132</x:v>
      </x:c>
      <x:c r="L15" s="160" t="n">
        <x:f>(I15+J15)*Assumptions!$E$73*Assumptions!$E$74</x:f>
        <x:v>0</x:v>
      </x:c>
      <x:c r="M15" s="160" t="n">
        <x:f>L15*Assumptions!$E$80</x:f>
        <x:v>0</x:v>
      </x:c>
      <x:c r="N15" s="160" t="n">
        <x:f>C15*Assumptions!$E$63</x:f>
        <x:v>723243.7599999999</x:v>
      </x:c>
      <x:c r="O15" s="160" t="n">
        <x:v>0</x:v>
      </x:c>
      <x:c r="P15" s="160" t="n">
        <x:f>M15-N15-O15</x:f>
        <x:v>-723243.7599999999</x:v>
      </x:c>
      <x:c r="Q15" s="160" t="n">
        <x:f>P15/((1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(1+Assumptions!$E$119+Assumptions!$E$86+Assumptions!$E$87))</x:f>
        <x:v>-388139.67154407286</x:v>
      </x:c>
      <x:c r="U15" s="1196"/>
      <x:c r="V15" s="1196"/>
      <x:c r="W15" s="1196"/>
      <x:c r="X15" s="1196"/>
    </x:row>
    <x:row r="16">
      <x:c r="A16" t="n">
        <x:v>12</x:v>
      </x:c>
      <x:c r="B16" t="str">
        <x:v>Protected residual balance</x:v>
      </x:c>
      <x:c r="C16" s="263" t="n">
        <x:f>Assumptions!$E$32/Assumptions!$E$33*(1-(Assumptions!$E$70+Assumptions!$E$71)*Assumptions!$E$72)</x:f>
        <x:v>28929.750399999997</x:v>
      </x:c>
      <x:c r="D16" s="160" t="n">
        <x:f>0</x:f>
        <x:v>0</x:v>
      </x:c>
      <x:c r="E16" s="160" t="n">
        <x:f>0</x:f>
        <x:v>0</x:v>
      </x:c>
      <x:c r="F16" s="160" t="n">
        <x:f>K15</x:f>
        <x:v>369764438.0711132</x:v>
      </x:c>
      <x:c r="G16" s="264" t="n">
        <x:f>Assumptions!$E$95</x:f>
        <x:v>0.0231</x:v>
      </x:c>
      <x:c r="H16" s="160" t="n">
        <x:f>(F16+0.5*E16-0.5*(I16+J16))*G16</x:f>
        <x:v>8541558.519442715</x:v>
      </x:c>
      <x:c r="I16" s="160" t="n">
        <x:v>0</x:v>
      </x:c>
      <x:c r="J16" s="160" t="n">
        <x:v>0</x:v>
      </x:c>
      <x:c r="K16" s="160" t="n">
        <x:f>MAX(0,F16+E16+H16-I16-J16)</x:f>
        <x:v>378305996.59055597</x:v>
      </x:c>
      <x:c r="L16" s="160" t="n">
        <x:f>(I16+J16)*Assumptions!$E$73*Assumptions!$E$74</x:f>
        <x:v>0</x:v>
      </x:c>
      <x:c r="M16" s="160" t="n">
        <x:f>L16*Assumptions!$E$80</x:f>
        <x:v>0</x:v>
      </x:c>
      <x:c r="N16" s="160" t="n">
        <x:f>C16*Assumptions!$E$63</x:f>
        <x:v>723243.7599999999</x:v>
      </x:c>
      <x:c r="O16" s="160" t="n">
        <x:v>0</x:v>
      </x:c>
      <x:c r="P16" s="160" t="n">
        <x:f>M16-N16-O16</x:f>
        <x:v>-723243.7599999999</x:v>
      </x:c>
      <x:c r="Q16" s="160" t="n">
        <x:f>P16/((1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(1+Assumptions!$E$119+Assumptions!$E$86+Assumptions!$E$87)*(1+Assumptions!$E$120+Assumptions!$E$86+Assumptions!$E$87))</x:f>
        <x:v>-363256.5948002554</x:v>
      </x:c>
      <x:c r="U16" s="1196"/>
      <x:c r="V16" s="1196"/>
      <x:c r="W16" s="1196"/>
      <x:c r="X16" s="1196"/>
    </x:row>
    <x:row r="17">
      <x:c r="A17" t="n">
        <x:v>13</x:v>
      </x:c>
      <x:c r="B17" t="str">
        <x:v>Protected residual balance</x:v>
      </x:c>
      <x:c r="C17" s="263" t="n">
        <x:f>Assumptions!$E$32/Assumptions!$E$33*(1-(Assumptions!$E$70+Assumptions!$E$71)*Assumptions!$E$72)</x:f>
        <x:v>28929.750399999997</x:v>
      </x:c>
      <x:c r="D17" s="160" t="n">
        <x:f>0</x:f>
        <x:v>0</x:v>
      </x:c>
      <x:c r="E17" s="160" t="n">
        <x:f>0</x:f>
        <x:v>0</x:v>
      </x:c>
      <x:c r="F17" s="160" t="n">
        <x:f>K16</x:f>
        <x:v>378305996.59055597</x:v>
      </x:c>
      <x:c r="G17" s="264" t="n">
        <x:f>Assumptions!$E$95</x:f>
        <x:v>0.0231</x:v>
      </x:c>
      <x:c r="H17" s="160" t="n">
        <x:f>(F17+0.5*E17-0.5*(I17+J17))*G17</x:f>
        <x:v>8738868.521241842</x:v>
      </x:c>
      <x:c r="I17" s="160" t="n">
        <x:v>0</x:v>
      </x:c>
      <x:c r="J17" s="160" t="n">
        <x:v>0</x:v>
      </x:c>
      <x:c r="K17" s="160" t="n">
        <x:f>MAX(0,F17+E17+H17-I17-J17)</x:f>
        <x:v>387044865.1117978</x:v>
      </x:c>
      <x:c r="L17" s="160" t="n">
        <x:f>(I17+J17)*Assumptions!$E$73*Assumptions!$E$74</x:f>
        <x:v>0</x:v>
      </x:c>
      <x:c r="M17" s="160" t="n">
        <x:f>L17*Assumptions!$E$80</x:f>
        <x:v>0</x:v>
      </x:c>
      <x:c r="N17" s="160" t="n">
        <x:f>C17*Assumptions!$E$63</x:f>
        <x:v>723243.7599999999</x:v>
      </x:c>
      <x:c r="O17" s="160" t="n">
        <x:v>0</x:v>
      </x:c>
      <x:c r="P17" s="160" t="n">
        <x:f>M17-N17-O17</x:f>
        <x:v>-723243.7599999999</x:v>
      </x:c>
      <x:c r="Q17" s="160" t="n">
        <x:f>P17/((1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(1+Assumptions!$E$119+Assumptions!$E$86+Assumptions!$E$87)*(1+Assumptions!$E$120+Assumptions!$E$86+Assumptions!$E$87)*(1+Assumptions!$E$121+Assumptions!$E$86+Assumptions!$E$87))</x:f>
        <x:v>-339587.356081383</x:v>
      </x:c>
      <x:c r="U17" s="1196"/>
      <x:c r="V17" s="1196"/>
      <x:c r="W17" s="1196"/>
      <x:c r="X17" s="1196"/>
    </x:row>
    <x:row r="18">
      <x:c r="A18" t="n">
        <x:v>14</x:v>
      </x:c>
      <x:c r="B18" t="str">
        <x:v>Protected residual balance</x:v>
      </x:c>
      <x:c r="C18" s="263" t="n">
        <x:f>Assumptions!$E$32/Assumptions!$E$33*(1-(Assumptions!$E$70+Assumptions!$E$71)*Assumptions!$E$72)</x:f>
        <x:v>28929.750399999997</x:v>
      </x:c>
      <x:c r="D18" s="160" t="n">
        <x:f>0</x:f>
        <x:v>0</x:v>
      </x:c>
      <x:c r="E18" s="160" t="n">
        <x:f>0</x:f>
        <x:v>0</x:v>
      </x:c>
      <x:c r="F18" s="160" t="n">
        <x:f>K17</x:f>
        <x:v>387044865.1117978</x:v>
      </x:c>
      <x:c r="G18" s="264" t="n">
        <x:f>Assumptions!$E$95</x:f>
        <x:v>0.0231</x:v>
      </x:c>
      <x:c r="H18" s="160" t="n">
        <x:f>(F18+0.5*E18-0.5*(I18+J18))*G18</x:f>
        <x:v>8940736.38408253</x:v>
      </x:c>
      <x:c r="I18" s="160" t="n">
        <x:v>0</x:v>
      </x:c>
      <x:c r="J18" s="160" t="n">
        <x:v>0</x:v>
      </x:c>
      <x:c r="K18" s="160" t="n">
        <x:f>MAX(0,F18+E18+H18-I18-J18)</x:f>
        <x:v>395985601.49588037</x:v>
      </x:c>
      <x:c r="L18" s="160" t="n">
        <x:f>(I18+J18)*Assumptions!$E$73*Assumptions!$E$74</x:f>
        <x:v>0</x:v>
      </x:c>
      <x:c r="M18" s="160" t="n">
        <x:f>L18*Assumptions!$E$80</x:f>
        <x:v>0</x:v>
      </x:c>
      <x:c r="N18" s="160" t="n">
        <x:f>C18*Assumptions!$E$63</x:f>
        <x:v>723243.7599999999</x:v>
      </x:c>
      <x:c r="O18" s="160" t="n">
        <x:v>0</x:v>
      </x:c>
      <x:c r="P18" s="160" t="n">
        <x:f>M18-N18-O18</x:f>
        <x:v>-723243.7599999999</x:v>
      </x:c>
      <x:c r="Q18" s="160" t="n">
        <x:f>P18/((1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(1+Assumptions!$E$119+Assumptions!$E$86+Assumptions!$E$87)*(1+Assumptions!$E$120+Assumptions!$E$86+Assumptions!$E$87)*(1+Assumptions!$E$121+Assumptions!$E$86+Assumptions!$E$87)*(1+Assumptions!$E$122+Assumptions!$E$86+Assumptions!$E$87))</x:f>
        <x:v>-317223.1257182466</x:v>
      </x:c>
      <x:c r="U18" s="1196"/>
      <x:c r="V18" s="1196"/>
      <x:c r="W18" s="1196"/>
      <x:c r="X18" s="1196"/>
    </x:row>
    <x:row r="19">
      <x:c r="A19" t="n">
        <x:v>15</x:v>
      </x:c>
      <x:c r="B19" t="str">
        <x:v>Protected residual balance</x:v>
      </x:c>
      <x:c r="C19" s="263" t="n">
        <x:f>Assumptions!$E$32/Assumptions!$E$33*(1-(Assumptions!$E$70+Assumptions!$E$71)*Assumptions!$E$72)</x:f>
        <x:v>28929.750399999997</x:v>
      </x:c>
      <x:c r="D19" s="160" t="n">
        <x:f>0</x:f>
        <x:v>0</x:v>
      </x:c>
      <x:c r="E19" s="160" t="n">
        <x:f>0</x:f>
        <x:v>0</x:v>
      </x:c>
      <x:c r="F19" s="160" t="n">
        <x:f>K18</x:f>
        <x:v>395985601.49588037</x:v>
      </x:c>
      <x:c r="G19" s="264" t="n">
        <x:f>Assumptions!$E$95</x:f>
        <x:v>0.0231</x:v>
      </x:c>
      <x:c r="H19" s="160" t="n">
        <x:f>(F19+0.5*E19-0.5*(I19+J19))*G19</x:f>
        <x:v>9147267.394554837</x:v>
      </x:c>
      <x:c r="I19" s="160" t="n">
        <x:v>0</x:v>
      </x:c>
      <x:c r="J19" s="160" t="n">
        <x:v>0</x:v>
      </x:c>
      <x:c r="K19" s="160" t="n">
        <x:f>MAX(0,F19+E19+H19-I19-J19)</x:f>
        <x:v>405132868.8904352</x:v>
      </x:c>
      <x:c r="L19" s="160" t="n">
        <x:f>(I19+J19)*Assumptions!$E$73*Assumptions!$E$74</x:f>
        <x:v>0</x:v>
      </x:c>
      <x:c r="M19" s="160" t="n">
        <x:f>L19*Assumptions!$E$80</x:f>
        <x:v>0</x:v>
      </x:c>
      <x:c r="N19" s="160" t="n">
        <x:f>C19*Assumptions!$E$63</x:f>
        <x:v>723243.7599999999</x:v>
      </x:c>
      <x:c r="O19" s="160" t="n">
        <x:v>0</x:v>
      </x:c>
      <x:c r="P19" s="160" t="n">
        <x:f>M19-N19-O19</x:f>
        <x:v>-723243.7599999999</x:v>
      </x:c>
      <x:c r="Q19" s="160" t="n">
        <x:f>P19/((1+Assumptions!$E$109+Assumptions!$E$86+Assumptions!$E$87)*(1+Assumptions!$E$110+Assumptions!$E$86+Assumptions!$E$87)*(1+Assumptions!$E$111+Assumptions!$E$86+Assumptions!$E$87)*(1+Assumptions!$E$112+Assumptions!$E$86+Assumptions!$E$87)*(1+Assumptions!$E$113+Assumptions!$E$86+Assumptions!$E$87)*(1+Assumptions!$E$114+Assumptions!$E$86+Assumptions!$E$87)*(1+Assumptions!$E$115+Assumptions!$E$86+Assumptions!$E$87)*(1+Assumptions!$E$116+Assumptions!$E$86+Assumptions!$E$87)*(1+Assumptions!$E$117+Assumptions!$E$86+Assumptions!$E$87)*(1+Assumptions!$E$118+Assumptions!$E$86+Assumptions!$E$87)*(1+Assumptions!$E$119+Assumptions!$E$86+Assumptions!$E$87)*(1+Assumptions!$E$120+Assumptions!$E$86+Assumptions!$E$87)*(1+Assumptions!$E$121+Assumptions!$E$86+Assumptions!$E$87)*(1+Assumptions!$E$122+Assumptions!$E$86+Assumptions!$E$87)*(1+Assumptions!$E$123+Assumptions!$E$86+Assumptions!$E$87))</x:f>
        <x:v>-296221.0530565381</x:v>
      </x:c>
      <x:c r="U19" s="1196"/>
      <x:c r="V19" s="1196"/>
      <x:c r="W19" s="1196"/>
      <x:c r="X19" s="1196"/>
    </x:row>
    <x:row r="20">
      <x:c r="U20" s="1196"/>
      <x:c r="V20" s="1196"/>
      <x:c r="W20" s="1196"/>
      <x:c r="X20" s="1196"/>
    </x:row>
    <x:row r="21" ht="22" customHeight="1">
      <x:c r="A21" s="506" t="str">
        <x:v>Cohort totals and timing interpretation</x:v>
      </x:c>
      <x:c r="B21" s="506" t="str">
        <x:v>Cohort totals and timing interpretation</x:v>
      </x:c>
      <x:c r="C21" s="506" t="str">
        <x:v>Cohort totals and timing interpretation</x:v>
      </x:c>
      <x:c r="D21" s="506" t="str">
        <x:v>Cohort totals and timing interpretation</x:v>
      </x:c>
      <x:c r="E21" s="506" t="str">
        <x:v>Cohort totals and timing interpretation</x:v>
      </x:c>
      <x:c r="F21" s="506" t="str">
        <x:v>Cohort totals and timing interpretation</x:v>
      </x:c>
      <x:c r="G21" s="506" t="str">
        <x:v>Cohort totals and timing interpretation</x:v>
      </x:c>
      <x:c r="H21" s="506" t="str">
        <x:v>Cohort totals and timing interpretation</x:v>
      </x:c>
      <x:c r="I21" s="506" t="str">
        <x:v>Cohort totals and timing interpretation</x:v>
      </x:c>
      <x:c r="J21" s="506" t="str">
        <x:v>Cohort totals and timing interpretation</x:v>
      </x:c>
      <x:c r="K21" s="506" t="str">
        <x:v>Cohort totals and timing interpretation</x:v>
      </x:c>
      <x:c r="L21" s="506" t="str">
        <x:v>Cohort totals and timing interpretation</x:v>
      </x:c>
      <x:c r="M21" s="506" t="str">
        <x:v>Cohort totals and timing interpretation</x:v>
      </x:c>
      <x:c r="N21" s="506" t="str">
        <x:v>Cohort totals and timing interpretation</x:v>
      </x:c>
      <x:c r="O21" s="506" t="str">
        <x:v>Cohort totals and timing interpretation</x:v>
      </x:c>
      <x:c r="P21" s="506" t="str">
        <x:v>Cohort totals and timing interpretation</x:v>
      </x:c>
      <x:c r="Q21" s="506" t="str">
        <x:v>Cohort totals and timing interpretation</x:v>
      </x:c>
      <x:c r="U21" s="1196"/>
      <x:c r="V21" s="1196"/>
      <x:c r="W21" s="1196"/>
      <x:c r="X21" s="1196"/>
    </x:row>
    <x:row r="22" ht="28" customHeight="1">
      <x:c r="A22" s="803" t="str">
        <x:v>Metric</x:v>
      </x:c>
      <x:c r="B22" s="803"/>
      <x:c r="C22" s="803"/>
      <x:c r="D22" s="803" t="str">
        <x:v>Nominal total</x:v>
      </x:c>
      <x:c r="E22" s="803"/>
      <x:c r="F22" s="803" t="str">
        <x:v>Present value / real view</x:v>
      </x:c>
      <x:c r="G22" s="803"/>
      <x:c r="H22" s="803" t="str">
        <x:v>Unit</x:v>
      </x:c>
      <x:c r="I22" s="803"/>
      <x:c r="J22" s="803" t="str">
        <x:v>Cash-cost treatment</x:v>
      </x:c>
      <x:c r="K22" s="803"/>
      <x:c r="L22" s="803" t="str">
        <x:v>Source</x:v>
      </x:c>
      <x:c r="M22" s="803"/>
      <x:c r="N22" s="803" t="str">
        <x:v>Interpretation</x:v>
      </x:c>
      <x:c r="O22" s="803"/>
      <x:c r="P22" s="803"/>
      <x:c r="Q22" s="803"/>
      <x:c r="U22" s="1196"/>
      <x:c r="V22" s="1196"/>
      <x:c r="W22" s="1196"/>
      <x:c r="X22" s="1196"/>
    </x:row>
    <x:row r="23" ht="30" customHeight="1">
      <x:c r="A23" s="484" t="str">
        <x:v>Immediate-access payments</x:v>
      </x:c>
      <x:c r="B23" s="856"/>
      <x:c r="C23" s="856"/>
      <x:c r="D23" s="858" t="n">
        <x:f>SUM(D5:D19)</x:f>
        <x:v>607898850</x:v>
      </x:c>
      <x:c r="E23" s="858"/>
      <x:c r="F23" s="858"/>
      <x:c r="G23" s="858"/>
      <x:c r="H23" s="484" t="str">
        <x:v>NZD</x:v>
      </x:c>
      <x:c r="I23" s="484"/>
      <x:c r="J23" s="484" t="str">
        <x:v>Yes — Stage 2</x:v>
      </x:c>
      <x:c r="K23" s="484"/>
      <x:c r="L23" s="484" t="str">
        <x:v>Stage 2</x:v>
      </x:c>
      <x:c r="M23" s="484"/>
      <x:c r="N23" s="484" t="str">
        <x:v>Cash appropriation during secondary school.</x:v>
      </x:c>
      <x:c r="O23" s="484"/>
      <x:c r="P23" s="484"/>
      <x:c r="Q23" s="484"/>
      <x:c r="U23" s="1196"/>
      <x:c r="V23" s="1196"/>
      <x:c r="W23" s="1196"/>
      <x:c r="X23" s="1196"/>
    </x:row>
    <x:row r="24" ht="30" customHeight="1">
      <x:c r="A24" s="484" t="str">
        <x:v>Learning Capital deposits</x:v>
      </x:c>
      <x:c r="B24" s="856"/>
      <x:c r="C24" s="856"/>
      <x:c r="D24" s="858" t="n">
        <x:f>SUM(E5:E19)</x:f>
        <x:v>607898850</x:v>
      </x:c>
      <x:c r="E24" s="858"/>
      <x:c r="F24" s="858"/>
      <x:c r="G24" s="858"/>
      <x:c r="H24" s="484" t="str">
        <x:v>NZD</x:v>
      </x:c>
      <x:c r="I24" s="484"/>
      <x:c r="J24" s="484" t="str">
        <x:v>Yes — Stage 2</x:v>
      </x:c>
      <x:c r="K24" s="484"/>
      <x:c r="L24" s="484" t="str">
        <x:v>Stage 2</x:v>
      </x:c>
      <x:c r="M24" s="484"/>
      <x:c r="N24" s="484" t="str">
        <x:v>Programme expenditure and participant-attributed protected capital.</x:v>
      </x:c>
      <x:c r="O24" s="484"/>
      <x:c r="P24" s="484"/>
      <x:c r="Q24" s="484"/>
      <x:c r="U24" s="1196"/>
      <x:c r="V24" s="1196"/>
      <x:c r="W24" s="1196"/>
      <x:c r="X24" s="1196"/>
    </x:row>
    <x:row r="25" ht="30" customHeight="1">
      <x:c r="A25" s="484" t="str">
        <x:v>Investment earnings</x:v>
      </x:c>
      <x:c r="B25" s="856"/>
      <x:c r="C25" s="856"/>
      <x:c r="D25" s="858" t="n">
        <x:f>SUM(H5:H19)</x:f>
        <x:v>152872621.11370265</x:v>
      </x:c>
      <x:c r="E25" s="858"/>
      <x:c r="F25" s="858"/>
      <x:c r="G25" s="858"/>
      <x:c r="H25" s="484" t="str">
        <x:v>NZD</x:v>
      </x:c>
      <x:c r="I25" s="484"/>
      <x:c r="J25" s="484" t="str">
        <x:v>No additional appropriation</x:v>
      </x:c>
      <x:c r="K25" s="484"/>
      <x:c r="L25" s="484" t="str">
        <x:v>A08–A10</x:v>
      </x:c>
      <x:c r="M25" s="484"/>
      <x:c r="N25" s="484" t="str">
        <x:v>Market outcome; not guaranteed and not automatically free social value.</x:v>
      </x:c>
      <x:c r="O25" s="484"/>
      <x:c r="P25" s="484"/>
      <x:c r="Q25" s="484"/>
      <x:c r="U25" s="1196"/>
      <x:c r="V25" s="1196"/>
      <x:c r="W25" s="1196"/>
      <x:c r="X25" s="1196"/>
    </x:row>
    <x:row r="26" ht="30" customHeight="1">
      <x:c r="A26" s="484" t="str">
        <x:v>Education and apprenticeship withdrawals</x:v>
      </x:c>
      <x:c r="B26" s="856"/>
      <x:c r="C26" s="856"/>
      <x:c r="D26" s="858" t="n">
        <x:f>SUM(I5:J19)</x:f>
        <x:v>355638602.22326756</x:v>
      </x:c>
      <x:c r="E26" s="858"/>
      <x:c r="F26" s="858"/>
      <x:c r="G26" s="858"/>
      <x:c r="H26" s="484" t="str">
        <x:v>NZD</x:v>
      </x:c>
      <x:c r="I26" s="484"/>
      <x:c r="J26" s="484" t="str">
        <x:v>Use of existing account asset</x:v>
      </x:c>
      <x:c r="K26" s="484"/>
      <x:c r="L26" s="484" t="str">
        <x:v>A11–A14</x:v>
      </x:c>
      <x:c r="M26" s="484"/>
      <x:c r="N26" s="484" t="str">
        <x:v>Occurs after school exit under approved-use rules.</x:v>
      </x:c>
      <x:c r="O26" s="484"/>
      <x:c r="P26" s="484"/>
      <x:c r="Q26" s="484"/>
      <x:c r="U26" s="1196"/>
      <x:c r="V26" s="1196"/>
      <x:c r="W26" s="1196"/>
      <x:c r="X26" s="1196"/>
    </x:row>
    <x:row r="27" ht="30" customHeight="1">
      <x:c r="A27" s="484" t="str">
        <x:v>Gross student-loan lending displaced</x:v>
      </x:c>
      <x:c r="B27" s="856"/>
      <x:c r="C27" s="856"/>
      <x:c r="D27" s="858" t="n">
        <x:f>SUM(L5:L19)</x:f>
        <x:v>170706529.06716847</x:v>
      </x:c>
      <x:c r="E27" s="858"/>
      <x:c r="F27" s="858"/>
      <x:c r="G27" s="858"/>
      <x:c r="H27" s="484" t="str">
        <x:v>NZD</x:v>
      </x:c>
      <x:c r="I27" s="484"/>
      <x:c r="J27" s="484" t="str">
        <x:v>No</x:v>
      </x:c>
      <x:c r="K27" s="484"/>
      <x:c r="L27" s="484" t="str">
        <x:v>S24;A12</x:v>
      </x:c>
      <x:c r="M27" s="484"/>
      <x:c r="N27" s="484" t="str">
        <x:v>Principal displacement is not itself a net Crown saving.</x:v>
      </x:c>
      <x:c r="O27" s="484"/>
      <x:c r="P27" s="484"/>
      <x:c r="Q27" s="484"/>
      <x:c r="U27" s="1196"/>
      <x:c r="V27" s="1196"/>
      <x:c r="W27" s="1196"/>
      <x:c r="X27" s="1196"/>
    </x:row>
    <x:row r="28" ht="30" customHeight="1">
      <x:c r="A28" s="484" t="str">
        <x:v>Official fair-value cost avoided</x:v>
      </x:c>
      <x:c r="B28" s="856"/>
      <x:c r="C28" s="856"/>
      <x:c r="D28" s="858" t="n">
        <x:f>SUM(M5:M19)</x:f>
        <x:v>58449915.55259848</x:v>
      </x:c>
      <x:c r="E28" s="858"/>
      <x:c r="F28" s="858"/>
      <x:c r="G28" s="858"/>
      <x:c r="H28" s="484" t="str">
        <x:v>NZD</x:v>
      </x:c>
      <x:c r="I28" s="484"/>
      <x:c r="J28" s="484" t="str">
        <x:v>Fiscal offset</x:v>
      </x:c>
      <x:c r="K28" s="484"/>
      <x:c r="L28" s="484" t="str">
        <x:v>S24</x:v>
      </x:c>
      <x:c r="M28" s="484"/>
      <x:c r="N28" s="484" t="str">
        <x:v>Central Crown origination measure.</x:v>
      </x:c>
      <x:c r="O28" s="484"/>
      <x:c r="P28" s="484"/>
      <x:c r="Q28" s="484"/>
      <x:c r="U28" s="1196"/>
      <x:c r="V28" s="1196"/>
      <x:c r="W28" s="1196"/>
      <x:c r="X28" s="1196"/>
    </x:row>
    <x:row r="29" ht="30" customHeight="1">
      <x:c r="A29" s="484" t="str">
        <x:v>Account administration plus induced-study cost</x:v>
      </x:c>
      <x:c r="B29" s="856"/>
      <x:c r="C29" s="856"/>
      <x:c r="D29" s="858" t="n">
        <x:f>SUM(N5:N19)+SUM(O5:O19)</x:f>
        <x:v>52622218.400000006</x:v>
      </x:c>
      <x:c r="E29" s="858"/>
      <x:c r="F29" s="858"/>
      <x:c r="G29" s="858"/>
      <x:c r="H29" s="484" t="str">
        <x:v>NZD</x:v>
      </x:c>
      <x:c r="I29" s="484"/>
      <x:c r="J29" s="484" t="str">
        <x:v>Consequential fiscal cost</x:v>
      </x:c>
      <x:c r="K29" s="484"/>
      <x:c r="L29" s="484" t="str">
        <x:v>A09;A16</x:v>
      </x:c>
      <x:c r="M29" s="484"/>
      <x:c r="N29" s="484" t="str">
        <x:v>Deducted when assessing the account mechanism.</x:v>
      </x:c>
      <x:c r="O29" s="484"/>
      <x:c r="P29" s="484"/>
      <x:c r="Q29" s="484"/>
      <x:c r="U29" s="1196"/>
      <x:c r="V29" s="1196"/>
      <x:c r="W29" s="1196"/>
      <x:c r="X29" s="1196"/>
    </x:row>
    <x:row r="30" ht="30" customHeight="1">
      <x:c r="A30" s="860" t="str">
        <x:v>Net Crown fiscal offset</x:v>
      </x:c>
      <x:c r="B30" s="861"/>
      <x:c r="C30" s="861"/>
      <x:c r="D30" s="861" t="n">
        <x:f>SUM(P5:P19)</x:f>
        <x:v>5827697.152598478</x:v>
      </x:c>
      <x:c r="E30" s="861"/>
      <x:c r="F30" s="861" t="n">
        <x:f>SUM(Q5:Q19)</x:f>
        <x:v>1531522.8685146212</x:v>
      </x:c>
      <x:c r="G30" s="861"/>
      <x:c r="H30" s="860" t="str">
        <x:v>NZD</x:v>
      </x:c>
      <x:c r="I30" s="860"/>
      <x:c r="J30" s="860" t="str">
        <x:v>Not netted against programme-payment expenditure</x:v>
      </x:c>
      <x:c r="K30" s="860"/>
      <x:c r="L30" s="860" t="str">
        <x:v>Calculated</x:v>
      </x:c>
      <x:c r="M30" s="860"/>
      <x:c r="N30" s="860" t="str">
        <x:v>Offset arises after approved withdrawals.</x:v>
      </x:c>
      <x:c r="O30" s="860"/>
      <x:c r="P30" s="860"/>
      <x:c r="Q30" s="860"/>
      <x:c r="U30" s="1196"/>
      <x:c r="V30" s="1196"/>
      <x:c r="W30" s="1196"/>
      <x:c r="X30" s="1196"/>
    </x:row>
    <x:row r="31" ht="30" customHeight="1">
      <x:c r="A31" s="484" t="str">
        <x:v>Closing residual protected assets</x:v>
      </x:c>
      <x:c r="B31" s="856"/>
      <x:c r="C31" s="856"/>
      <x:c r="D31" s="858" t="n">
        <x:f>K19</x:f>
        <x:v>405132868.8904352</x:v>
      </x:c>
      <x:c r="E31" s="858"/>
      <x:c r="F31" s="858"/>
      <x:c r="G31" s="858"/>
      <x:c r="H31" s="484" t="str">
        <x:v>NZD</x:v>
      </x:c>
      <x:c r="I31" s="484"/>
      <x:c r="J31" s="484" t="str">
        <x:v>No</x:v>
      </x:c>
      <x:c r="K31" s="484"/>
      <x:c r="L31" s="484" t="str">
        <x:v>A13–A15</x:v>
      </x:c>
      <x:c r="M31" s="484"/>
      <x:c r="N31" s="484" t="str">
        <x:v>Remain available for approved use until the policy age limit.</x:v>
      </x:c>
      <x:c r="O31" s="484"/>
      <x:c r="P31" s="484"/>
      <x:c r="Q31" s="484"/>
      <x:c r="U31" s="1196"/>
      <x:c r="V31" s="1196"/>
      <x:c r="W31" s="1196"/>
      <x:c r="X31" s="1196"/>
    </x:row>
    <x:row r="32">
      <x:c r="U32" s="1196"/>
      <x:c r="V32" s="1196"/>
      <x:c r="W32" s="1196"/>
      <x:c r="X32" s="1196"/>
    </x:row>
    <x:row r="33">
      <x:c r="U33" s="1196"/>
      <x:c r="V33" s="1196"/>
      <x:c r="W33" s="1196"/>
      <x:c r="X33" s="1196"/>
    </x:row>
    <x:row r="34">
      <x:c r="U34" s="1196"/>
      <x:c r="V34" s="1196"/>
      <x:c r="W34" s="1196"/>
      <x:c r="X34" s="1196"/>
    </x:row>
    <x:row r="35">
      <x:c r="U35" s="1196"/>
      <x:c r="V35" s="1196"/>
      <x:c r="W35" s="1196"/>
      <x:c r="X35" s="1196"/>
    </x:row>
    <x:row r="36">
      <x:c r="U36" s="1196"/>
      <x:c r="V36" s="1196"/>
      <x:c r="W36" s="1196"/>
      <x:c r="X36" s="1196"/>
    </x:row>
    <x:row r="37">
      <x:c r="U37" s="1196"/>
      <x:c r="V37" s="1196"/>
      <x:c r="W37" s="1196"/>
      <x:c r="X37" s="1196"/>
    </x:row>
    <x:row r="38">
      <x:c r="U38" s="1196"/>
      <x:c r="V38" s="1196"/>
      <x:c r="W38" s="1196"/>
      <x:c r="X38" s="1196"/>
    </x:row>
    <x:row r="39">
      <x:c r="U39" s="1196"/>
      <x:c r="V39" s="1196"/>
      <x:c r="W39" s="1196"/>
      <x:c r="X39" s="1196"/>
    </x:row>
    <x:row r="40">
      <x:c r="U40" s="1196"/>
      <x:c r="V40" s="1196"/>
      <x:c r="W40" s="1196"/>
      <x:c r="X40" s="1196"/>
    </x:row>
    <x:row r="41">
      <x:c r="U41" s="1196"/>
      <x:c r="V41" s="1196"/>
      <x:c r="W41" s="1196"/>
      <x:c r="X41" s="1196"/>
    </x:row>
    <x:row r="42">
      <x:c r="U42" s="1196"/>
      <x:c r="V42" s="1196"/>
      <x:c r="W42" s="1196"/>
      <x:c r="X42" s="1196"/>
    </x:row>
    <x:row r="43">
      <x:c r="U43" s="1196"/>
      <x:c r="V43" s="1196"/>
      <x:c r="W43" s="1196"/>
      <x:c r="X43" s="1196"/>
    </x:row>
    <x:row r="44">
      <x:c r="U44" s="1196"/>
      <x:c r="V44" s="1196"/>
      <x:c r="W44" s="1196"/>
      <x:c r="X44" s="1196"/>
    </x:row>
    <x:row r="45">
      <x:c r="U45" s="1196"/>
      <x:c r="V45" s="1196"/>
      <x:c r="W45" s="1196"/>
      <x:c r="X45" s="1196"/>
    </x:row>
    <x:row r="46">
      <x:c r="U46" s="1196"/>
      <x:c r="V46" s="1196"/>
      <x:c r="W46" s="1196"/>
      <x:c r="X46" s="1196"/>
    </x:row>
    <x:row r="47">
      <x:c r="U47" s="1196"/>
      <x:c r="V47" s="1196"/>
      <x:c r="W47" s="1196"/>
      <x:c r="X47" s="1196"/>
    </x:row>
    <x:row r="48">
      <x:c r="U48" s="1196"/>
      <x:c r="V48" s="1196"/>
      <x:c r="W48" s="1196"/>
      <x:c r="X48" s="1196"/>
    </x:row>
    <x:row r="49">
      <x:c r="U49" s="1196"/>
      <x:c r="V49" s="1196"/>
      <x:c r="W49" s="1196"/>
      <x:c r="X49" s="1196"/>
    </x:row>
    <x:row r="50">
      <x:c r="U50" s="1196"/>
      <x:c r="V50" s="1196"/>
      <x:c r="W50" s="1196"/>
      <x:c r="X50" s="1196"/>
    </x:row>
    <x:row r="51">
      <x:c r="U51" s="1196"/>
      <x:c r="V51" s="1196"/>
      <x:c r="W51" s="1196"/>
      <x:c r="X51" s="1196"/>
    </x:row>
    <x:row r="52">
      <x:c r="U52" s="1196"/>
      <x:c r="V52" s="1196"/>
      <x:c r="W52" s="1196"/>
      <x:c r="X52" s="1196"/>
    </x:row>
    <x:row r="53">
      <x:c r="U53" s="1196"/>
      <x:c r="V53" s="1196"/>
      <x:c r="W53" s="1196"/>
      <x:c r="X53" s="1196"/>
    </x:row>
    <x:row r="54">
      <x:c r="U54" s="1196"/>
      <x:c r="V54" s="1196"/>
      <x:c r="W54" s="1196"/>
      <x:c r="X54" s="1196"/>
    </x:row>
    <x:row r="55">
      <x:c r="U55" s="1196"/>
      <x:c r="V55" s="1196"/>
      <x:c r="W55" s="1196"/>
      <x:c r="X55" s="1196"/>
    </x:row>
    <x:row r="56">
      <x:c r="U56" s="1196"/>
      <x:c r="V56" s="1196"/>
      <x:c r="W56" s="1196"/>
      <x:c r="X56" s="1196"/>
    </x:row>
    <x:row r="57">
      <x:c r="U57" s="1196"/>
      <x:c r="V57" s="1196"/>
      <x:c r="W57" s="1196"/>
      <x:c r="X57" s="1196"/>
    </x:row>
    <x:row r="58">
      <x:c r="U58" s="1196"/>
      <x:c r="V58" s="1196"/>
      <x:c r="W58" s="1196"/>
      <x:c r="X58" s="1196"/>
    </x:row>
    <x:row r="59">
      <x:c r="U59" s="1196"/>
      <x:c r="V59" s="1196"/>
      <x:c r="W59" s="1196"/>
      <x:c r="X59" s="1196"/>
    </x:row>
    <x:row r="60">
      <x:c r="U60" s="1196"/>
      <x:c r="V60" s="1196"/>
      <x:c r="W60" s="1196"/>
      <x:c r="X60" s="1196"/>
    </x:row>
    <x:row r="61">
      <x:c r="U61" s="1196"/>
      <x:c r="V61" s="1196"/>
      <x:c r="W61" s="1196"/>
      <x:c r="X61" s="1196"/>
    </x:row>
    <x:row r="62">
      <x:c r="U62" s="1196"/>
      <x:c r="V62" s="1196"/>
      <x:c r="W62" s="1196"/>
      <x:c r="X62" s="1196"/>
    </x:row>
    <x:row r="63">
      <x:c r="U63" s="1196"/>
      <x:c r="V63" s="1196"/>
      <x:c r="W63" s="1196"/>
      <x:c r="X63" s="1196"/>
    </x:row>
    <x:row r="64">
      <x:c r="U64" s="1196"/>
      <x:c r="V64" s="1196"/>
      <x:c r="W64" s="1196"/>
      <x:c r="X64" s="1196"/>
    </x:row>
    <x:row r="65">
      <x:c r="U65" s="1196"/>
      <x:c r="V65" s="1196"/>
      <x:c r="W65" s="1196"/>
      <x:c r="X65" s="1196"/>
    </x:row>
    <x:row r="66">
      <x:c r="U66" s="1196"/>
      <x:c r="V66" s="1196"/>
      <x:c r="W66" s="1196"/>
      <x:c r="X66" s="1196"/>
    </x:row>
    <x:row r="67">
      <x:c r="U67" s="1196"/>
      <x:c r="V67" s="1196"/>
      <x:c r="W67" s="1196"/>
      <x:c r="X67" s="1196"/>
    </x:row>
    <x:row r="68">
      <x:c r="U68" s="1196"/>
      <x:c r="V68" s="1196"/>
      <x:c r="W68" s="1196"/>
      <x:c r="X68" s="1196"/>
    </x:row>
    <x:row r="69">
      <x:c r="U69" s="1196"/>
      <x:c r="V69" s="1196"/>
      <x:c r="W69" s="1196"/>
      <x:c r="X69" s="1196"/>
    </x:row>
    <x:row r="70">
      <x:c r="U70" s="1196"/>
      <x:c r="V70" s="1196"/>
      <x:c r="W70" s="1196"/>
      <x:c r="X70" s="1196"/>
    </x:row>
    <x:row r="71">
      <x:c r="U71" s="1196"/>
      <x:c r="V71" s="1196"/>
      <x:c r="W71" s="1196"/>
      <x:c r="X71" s="1196"/>
    </x:row>
    <x:row r="72">
      <x:c r="U72" s="1196"/>
      <x:c r="V72" s="1196"/>
      <x:c r="W72" s="1196"/>
      <x:c r="X72" s="1196"/>
    </x:row>
    <x:row r="73">
      <x:c r="U73" s="1196"/>
      <x:c r="V73" s="1196"/>
      <x:c r="W73" s="1196"/>
      <x:c r="X73" s="1196"/>
    </x:row>
    <x:row r="74">
      <x:c r="U74" s="1196"/>
      <x:c r="V74" s="1196"/>
      <x:c r="W74" s="1196"/>
      <x:c r="X74" s="1196"/>
    </x:row>
    <x:row r="75">
      <x:c r="U75" s="1196"/>
      <x:c r="V75" s="1196"/>
      <x:c r="W75" s="1196"/>
      <x:c r="X75" s="1196"/>
    </x:row>
    <x:row r="76">
      <x:c r="U76" s="1196"/>
      <x:c r="V76" s="1196"/>
      <x:c r="W76" s="1196"/>
      <x:c r="X76" s="1196"/>
    </x:row>
    <x:row r="77">
      <x:c r="U77" s="1196"/>
      <x:c r="V77" s="1196"/>
      <x:c r="W77" s="1196"/>
      <x:c r="X77" s="1196"/>
    </x:row>
    <x:row r="78">
      <x:c r="U78" s="1196"/>
      <x:c r="V78" s="1196"/>
      <x:c r="W78" s="1196"/>
      <x:c r="X78" s="1196"/>
    </x:row>
    <x:row r="79">
      <x:c r="U79" s="1196"/>
      <x:c r="V79" s="1196"/>
      <x:c r="W79" s="1196"/>
      <x:c r="X79" s="1196"/>
    </x:row>
    <x:row r="80">
      <x:c r="U80" s="1196"/>
      <x:c r="V80" s="1196"/>
      <x:c r="W80" s="1196"/>
      <x:c r="X80" s="1196"/>
    </x:row>
    <x:row r="81">
      <x:c r="U81" s="1196"/>
      <x:c r="V81" s="1196"/>
      <x:c r="W81" s="1196"/>
      <x:c r="X81" s="1196"/>
    </x:row>
    <x:row r="82">
      <x:c r="U82" s="1196"/>
      <x:c r="V82" s="1196"/>
      <x:c r="W82" s="1196"/>
      <x:c r="X82" s="1196"/>
    </x:row>
    <x:row r="83">
      <x:c r="U83" s="1196"/>
      <x:c r="V83" s="1196"/>
      <x:c r="W83" s="1196"/>
      <x:c r="X83" s="1196"/>
    </x:row>
    <x:row r="84">
      <x:c r="U84" s="1196"/>
      <x:c r="V84" s="1196"/>
      <x:c r="W84" s="1196"/>
      <x:c r="X84" s="1196"/>
    </x:row>
    <x:row r="85">
      <x:c r="U85" s="1196"/>
      <x:c r="V85" s="1196"/>
      <x:c r="W85" s="1196"/>
      <x:c r="X85" s="1196"/>
    </x:row>
    <x:row r="86">
      <x:c r="U86" s="1196"/>
      <x:c r="V86" s="1196"/>
      <x:c r="W86" s="1196"/>
      <x:c r="X86" s="1196"/>
    </x:row>
    <x:row r="87">
      <x:c r="U87" s="1196"/>
      <x:c r="V87" s="1196"/>
      <x:c r="W87" s="1196"/>
      <x:c r="X87" s="1196"/>
    </x:row>
    <x:row r="88">
      <x:c r="U88" s="1196"/>
      <x:c r="V88" s="1196"/>
      <x:c r="W88" s="1196"/>
      <x:c r="X88" s="1196"/>
    </x:row>
    <x:row r="89">
      <x:c r="U89" s="1196"/>
      <x:c r="V89" s="1196"/>
      <x:c r="W89" s="1196"/>
      <x:c r="X89" s="1196"/>
    </x:row>
    <x:row r="90">
      <x:c r="U90" s="1196"/>
      <x:c r="V90" s="1196"/>
      <x:c r="W90" s="1196"/>
      <x:c r="X90" s="1196"/>
    </x:row>
    <x:row r="91">
      <x:c r="U91" s="1196"/>
      <x:c r="V91" s="1196"/>
      <x:c r="W91" s="1196"/>
      <x:c r="X91" s="1196"/>
    </x:row>
    <x:row r="92">
      <x:c r="U92" s="1196"/>
      <x:c r="V92" s="1196"/>
      <x:c r="W92" s="1196"/>
      <x:c r="X92" s="1196"/>
    </x:row>
    <x:row r="93">
      <x:c r="U93" s="1196"/>
      <x:c r="V93" s="1196"/>
      <x:c r="W93" s="1196"/>
      <x:c r="X93" s="1196"/>
    </x:row>
    <x:row r="94">
      <x:c r="U94" s="1196"/>
      <x:c r="V94" s="1196"/>
      <x:c r="W94" s="1196"/>
      <x:c r="X94" s="1196"/>
    </x:row>
    <x:row r="95">
      <x:c r="U95" s="1196"/>
      <x:c r="V95" s="1196"/>
      <x:c r="W95" s="1196"/>
      <x:c r="X95" s="1196"/>
    </x:row>
    <x:row r="96">
      <x:c r="U96" s="1196"/>
      <x:c r="V96" s="1196"/>
      <x:c r="W96" s="1196"/>
      <x:c r="X96" s="1196"/>
    </x:row>
    <x:row r="97">
      <x:c r="U97" s="1196"/>
      <x:c r="V97" s="1196"/>
      <x:c r="W97" s="1196"/>
      <x:c r="X97" s="1196"/>
    </x:row>
    <x:row r="98">
      <x:c r="U98" s="1196"/>
      <x:c r="V98" s="1196"/>
      <x:c r="W98" s="1196"/>
      <x:c r="X98" s="1196"/>
    </x:row>
    <x:row r="99">
      <x:c r="U99" s="1196"/>
      <x:c r="V99" s="1196"/>
      <x:c r="W99" s="1196"/>
      <x:c r="X99" s="1196"/>
    </x:row>
    <x:row r="100">
      <x:c r="U100" s="1196"/>
      <x:c r="V100" s="1196"/>
      <x:c r="W100" s="1196"/>
      <x:c r="X100" s="1196"/>
    </x:row>
    <x:row r="101">
      <x:c r="U101" s="1196"/>
      <x:c r="V101" s="1196"/>
      <x:c r="W101" s="1196"/>
      <x:c r="X101" s="1196"/>
    </x:row>
    <x:row r="102">
      <x:c r="U102" s="1196"/>
      <x:c r="V102" s="1196"/>
      <x:c r="W102" s="1196"/>
      <x:c r="X102" s="1196"/>
    </x:row>
    <x:row r="103">
      <x:c r="U103" s="1196"/>
      <x:c r="V103" s="1196"/>
      <x:c r="W103" s="1196"/>
      <x:c r="X103" s="1196"/>
    </x:row>
    <x:row r="104">
      <x:c r="U104" s="1196"/>
      <x:c r="V104" s="1196"/>
      <x:c r="W104" s="1196"/>
      <x:c r="X104" s="1196"/>
    </x:row>
    <x:row r="105">
      <x:c r="U105" s="1196"/>
      <x:c r="V105" s="1196"/>
      <x:c r="W105" s="1196"/>
      <x:c r="X105" s="1196"/>
    </x:row>
    <x:row r="106">
      <x:c r="U106" s="1196"/>
      <x:c r="V106" s="1196"/>
      <x:c r="W106" s="1196"/>
      <x:c r="X106" s="1196"/>
    </x:row>
    <x:row r="107">
      <x:c r="U107" s="1196"/>
      <x:c r="V107" s="1196"/>
      <x:c r="W107" s="1196"/>
      <x:c r="X107" s="1196"/>
    </x:row>
    <x:row r="108">
      <x:c r="U108" s="1196"/>
      <x:c r="V108" s="1196"/>
      <x:c r="W108" s="1196"/>
      <x:c r="X108" s="1196"/>
    </x:row>
    <x:row r="109">
      <x:c r="U109" s="1196"/>
      <x:c r="V109" s="1196"/>
      <x:c r="W109" s="1196"/>
      <x:c r="X109" s="1196"/>
    </x:row>
    <x:row r="110">
      <x:c r="U110" s="1196"/>
      <x:c r="V110" s="1196"/>
      <x:c r="W110" s="1196"/>
      <x:c r="X110" s="1196"/>
    </x:row>
    <x:row r="111">
      <x:c r="U111" s="1196"/>
      <x:c r="V111" s="1196"/>
      <x:c r="W111" s="1196"/>
      <x:c r="X111" s="1196"/>
    </x:row>
    <x:row r="112">
      <x:c r="U112" s="1196"/>
      <x:c r="V112" s="1196"/>
      <x:c r="W112" s="1196"/>
      <x:c r="X112" s="1196"/>
    </x:row>
    <x:row r="113">
      <x:c r="U113" s="1196"/>
      <x:c r="V113" s="1196"/>
      <x:c r="W113" s="1196"/>
      <x:c r="X113" s="1196"/>
    </x:row>
    <x:row r="114">
      <x:c r="U114" s="1196"/>
      <x:c r="V114" s="1196"/>
      <x:c r="W114" s="1196"/>
      <x:c r="X114" s="1196"/>
    </x:row>
    <x:row r="115">
      <x:c r="U115" s="1196"/>
      <x:c r="V115" s="1196"/>
      <x:c r="W115" s="1196"/>
      <x:c r="X115" s="1196"/>
    </x:row>
    <x:row r="116">
      <x:c r="U116" s="1196"/>
      <x:c r="V116" s="1196"/>
      <x:c r="W116" s="1196"/>
      <x:c r="X116" s="1196"/>
    </x:row>
    <x:row r="117">
      <x:c r="U117" s="1196"/>
      <x:c r="V117" s="1196"/>
      <x:c r="W117" s="1196"/>
      <x:c r="X117" s="1196"/>
    </x:row>
    <x:row r="118">
      <x:c r="U118" s="1196"/>
      <x:c r="V118" s="1196"/>
      <x:c r="W118" s="1196"/>
      <x:c r="X118" s="1196"/>
    </x:row>
    <x:row r="119">
      <x:c r="U119" s="1196"/>
      <x:c r="V119" s="1196"/>
      <x:c r="W119" s="1196"/>
      <x:c r="X119" s="1196"/>
    </x:row>
    <x:row r="120">
      <x:c r="U120" s="1196"/>
      <x:c r="V120" s="1196"/>
      <x:c r="W120" s="1196"/>
      <x:c r="X120" s="1196"/>
    </x:row>
    <x:row r="121">
      <x:c r="U121" s="1196"/>
      <x:c r="V121" s="1196"/>
      <x:c r="W121" s="1196"/>
      <x:c r="X121" s="1196"/>
    </x:row>
    <x:row r="122">
      <x:c r="U122" s="1196"/>
      <x:c r="V122" s="1196"/>
      <x:c r="W122" s="1196"/>
      <x:c r="X122" s="1196"/>
    </x:row>
    <x:row r="123">
      <x:c r="U123" s="1196"/>
      <x:c r="V123" s="1196"/>
      <x:c r="W123" s="1196"/>
      <x:c r="X123" s="1196"/>
    </x:row>
    <x:row r="124">
      <x:c r="U124" s="1196"/>
      <x:c r="V124" s="1196"/>
      <x:c r="W124" s="1196"/>
      <x:c r="X124" s="1196"/>
    </x:row>
    <x:row r="125">
      <x:c r="U125" s="1196"/>
      <x:c r="V125" s="1196"/>
      <x:c r="W125" s="1196"/>
      <x:c r="X125" s="1196"/>
    </x:row>
    <x:row r="126">
      <x:c r="U126" s="1196"/>
      <x:c r="V126" s="1196"/>
      <x:c r="W126" s="1196"/>
      <x:c r="X126" s="1196"/>
    </x:row>
    <x:row r="127">
      <x:c r="U127" s="1196"/>
      <x:c r="V127" s="1196"/>
      <x:c r="W127" s="1196"/>
      <x:c r="X127" s="1196"/>
    </x:row>
    <x:row r="128">
      <x:c r="U128" s="1196"/>
      <x:c r="V128" s="1196"/>
      <x:c r="W128" s="1196"/>
      <x:c r="X128" s="1196"/>
    </x:row>
    <x:row r="129">
      <x:c r="U129" s="1196"/>
      <x:c r="V129" s="1196"/>
      <x:c r="W129" s="1196"/>
      <x:c r="X129" s="1196"/>
    </x:row>
    <x:row r="130">
      <x:c r="U130" s="1196"/>
      <x:c r="V130" s="1196"/>
      <x:c r="W130" s="1196"/>
      <x:c r="X130" s="1196"/>
    </x:row>
    <x:row r="131">
      <x:c r="U131" s="1196"/>
      <x:c r="V131" s="1196"/>
      <x:c r="W131" s="1196"/>
      <x:c r="X131" s="1196"/>
    </x:row>
    <x:row r="132">
      <x:c r="U132" s="1196"/>
      <x:c r="V132" s="1196"/>
      <x:c r="W132" s="1196"/>
      <x:c r="X132" s="1196"/>
    </x:row>
    <x:row r="133">
      <x:c r="U133" s="1196"/>
      <x:c r="V133" s="1196"/>
      <x:c r="W133" s="1196"/>
      <x:c r="X133" s="1196"/>
    </x:row>
    <x:row r="134">
      <x:c r="U134" s="1196"/>
      <x:c r="V134" s="1196"/>
      <x:c r="W134" s="1196"/>
      <x:c r="X134" s="1196"/>
    </x:row>
    <x:row r="135">
      <x:c r="U135" s="1196"/>
      <x:c r="V135" s="1196"/>
      <x:c r="W135" s="1196"/>
      <x:c r="X135" s="1196"/>
    </x:row>
    <x:row r="136">
      <x:c r="U136" s="1196"/>
      <x:c r="V136" s="1196"/>
      <x:c r="W136" s="1196"/>
      <x:c r="X136" s="1196"/>
    </x:row>
    <x:row r="137">
      <x:c r="U137" s="1196"/>
      <x:c r="V137" s="1196"/>
      <x:c r="W137" s="1196"/>
      <x:c r="X137" s="1196"/>
    </x:row>
    <x:row r="138">
      <x:c r="U138" s="1196"/>
      <x:c r="V138" s="1196"/>
      <x:c r="W138" s="1196"/>
      <x:c r="X138" s="1196"/>
    </x:row>
    <x:row r="139">
      <x:c r="U139" s="1196"/>
      <x:c r="V139" s="1196"/>
      <x:c r="W139" s="1196"/>
      <x:c r="X139" s="1196"/>
    </x:row>
    <x:row r="140">
      <x:c r="U140" s="1196"/>
      <x:c r="V140" s="1196"/>
      <x:c r="W140" s="1196"/>
      <x:c r="X140" s="1196"/>
    </x:row>
    <x:row r="141">
      <x:c r="U141" s="1196"/>
      <x:c r="V141" s="1196"/>
      <x:c r="W141" s="1196"/>
      <x:c r="X141" s="1196"/>
    </x:row>
    <x:row r="142">
      <x:c r="U142" s="1196"/>
      <x:c r="V142" s="1196"/>
      <x:c r="W142" s="1196"/>
      <x:c r="X142" s="1196"/>
    </x:row>
    <x:row r="143">
      <x:c r="U143" s="1196"/>
      <x:c r="V143" s="1196"/>
      <x:c r="W143" s="1196"/>
      <x:c r="X143" s="1196"/>
    </x:row>
    <x:row r="144">
      <x:c r="U144" s="1196"/>
      <x:c r="V144" s="1196"/>
      <x:c r="W144" s="1196"/>
      <x:c r="X144" s="1196"/>
    </x:row>
    <x:row r="145">
      <x:c r="U145" s="1196"/>
      <x:c r="V145" s="1196"/>
      <x:c r="W145" s="1196"/>
      <x:c r="X145" s="1196"/>
    </x:row>
    <x:row r="146">
      <x:c r="U146" s="1196"/>
      <x:c r="V146" s="1196"/>
      <x:c r="W146" s="1196"/>
      <x:c r="X146" s="1196"/>
    </x:row>
    <x:row r="147">
      <x:c r="U147" s="1196"/>
      <x:c r="V147" s="1196"/>
      <x:c r="W147" s="1196"/>
      <x:c r="X147" s="1196"/>
    </x:row>
    <x:row r="148">
      <x:c r="U148" s="1196"/>
      <x:c r="V148" s="1196"/>
      <x:c r="W148" s="1196"/>
      <x:c r="X148" s="1196"/>
    </x:row>
    <x:row r="149">
      <x:c r="U149" s="1196"/>
      <x:c r="V149" s="1196"/>
      <x:c r="W149" s="1196"/>
      <x:c r="X149" s="1196"/>
    </x:row>
    <x:row r="150">
      <x:c r="U150" s="1196"/>
      <x:c r="V150" s="1196"/>
      <x:c r="W150" s="1196"/>
      <x:c r="X150" s="1196"/>
    </x:row>
    <x:row r="151">
      <x:c r="U151" s="1196"/>
      <x:c r="V151" s="1196"/>
      <x:c r="W151" s="1196"/>
      <x:c r="X151" s="1196"/>
    </x:row>
    <x:row r="152">
      <x:c r="U152" s="1196"/>
      <x:c r="V152" s="1196"/>
      <x:c r="W152" s="1196"/>
      <x:c r="X152" s="1196"/>
    </x:row>
    <x:row r="153">
      <x:c r="U153" s="1196"/>
      <x:c r="V153" s="1196"/>
      <x:c r="W153" s="1196"/>
      <x:c r="X153" s="1196"/>
    </x:row>
    <x:row r="154">
      <x:c r="U154" s="1196"/>
      <x:c r="V154" s="1196"/>
      <x:c r="W154" s="1196"/>
      <x:c r="X154" s="1196"/>
    </x:row>
    <x:row r="155">
      <x:c r="U155" s="1196"/>
      <x:c r="V155" s="1196"/>
      <x:c r="W155" s="1196"/>
      <x:c r="X155" s="1196"/>
    </x:row>
    <x:row r="156">
      <x:c r="U156" s="1196"/>
      <x:c r="V156" s="1196"/>
      <x:c r="W156" s="1196"/>
      <x:c r="X156" s="1196"/>
    </x:row>
    <x:row r="157">
      <x:c r="U157" s="1196"/>
      <x:c r="V157" s="1196"/>
      <x:c r="W157" s="1196"/>
      <x:c r="X157" s="1196"/>
    </x:row>
    <x:row r="158">
      <x:c r="U158" s="1196"/>
      <x:c r="V158" s="1196"/>
      <x:c r="W158" s="1196"/>
      <x:c r="X158" s="1196"/>
    </x:row>
    <x:row r="159">
      <x:c r="U159" s="1196"/>
      <x:c r="V159" s="1196"/>
      <x:c r="W159" s="1196"/>
      <x:c r="X159" s="1196"/>
    </x:row>
    <x:row r="160">
      <x:c r="U160" s="1196"/>
      <x:c r="V160" s="1196"/>
      <x:c r="W160" s="1196"/>
      <x:c r="X160" s="1196"/>
    </x:row>
    <x:row r="161">
      <x:c r="U161" s="1196"/>
      <x:c r="V161" s="1196"/>
      <x:c r="W161" s="1196"/>
      <x:c r="X161" s="1196"/>
    </x:row>
    <x:row r="162">
      <x:c r="U162" s="1196"/>
      <x:c r="V162" s="1196"/>
      <x:c r="W162" s="1196"/>
      <x:c r="X162" s="1196"/>
    </x:row>
    <x:row r="163">
      <x:c r="U163" s="1196"/>
      <x:c r="V163" s="1196"/>
      <x:c r="W163" s="1196"/>
      <x:c r="X163" s="1196"/>
    </x:row>
    <x:row r="164">
      <x:c r="U164" s="1196"/>
      <x:c r="V164" s="1196"/>
      <x:c r="W164" s="1196"/>
      <x:c r="X164" s="1196"/>
    </x:row>
    <x:row r="165">
      <x:c r="U165" s="1196"/>
      <x:c r="V165" s="1196"/>
      <x:c r="W165" s="1196"/>
      <x:c r="X165" s="1196"/>
    </x:row>
    <x:row r="166">
      <x:c r="U166" s="1196"/>
      <x:c r="V166" s="1196"/>
      <x:c r="W166" s="1196"/>
      <x:c r="X166" s="1196"/>
    </x:row>
    <x:row r="167">
      <x:c r="U167" s="1196"/>
      <x:c r="V167" s="1196"/>
      <x:c r="W167" s="1196"/>
      <x:c r="X167" s="1196"/>
    </x:row>
    <x:row r="168">
      <x:c r="U168" s="1196"/>
      <x:c r="V168" s="1196"/>
      <x:c r="W168" s="1196"/>
      <x:c r="X168" s="1196"/>
    </x:row>
    <x:row r="169">
      <x:c r="U169" s="1196"/>
      <x:c r="V169" s="1196"/>
      <x:c r="W169" s="1196"/>
      <x:c r="X169" s="1196"/>
    </x:row>
    <x:row r="170">
      <x:c r="U170" s="1196"/>
      <x:c r="V170" s="1196"/>
      <x:c r="W170" s="1196"/>
      <x:c r="X170" s="1196"/>
    </x:row>
    <x:row r="171">
      <x:c r="U171" s="1196"/>
      <x:c r="V171" s="1196"/>
      <x:c r="W171" s="1196"/>
      <x:c r="X171" s="1196"/>
    </x:row>
    <x:row r="172">
      <x:c r="U172" s="1196"/>
      <x:c r="V172" s="1196"/>
      <x:c r="W172" s="1196"/>
      <x:c r="X172" s="1196"/>
    </x:row>
    <x:row r="173">
      <x:c r="U173" s="1196"/>
      <x:c r="V173" s="1196"/>
      <x:c r="W173" s="1196"/>
      <x:c r="X173" s="1196"/>
    </x:row>
    <x:row r="174">
      <x:c r="U174" s="1196"/>
      <x:c r="V174" s="1196"/>
      <x:c r="W174" s="1196"/>
      <x:c r="X174" s="1196"/>
    </x:row>
    <x:row r="175">
      <x:c r="U175" s="1196"/>
      <x:c r="V175" s="1196"/>
      <x:c r="W175" s="1196"/>
      <x:c r="X175" s="1196"/>
    </x:row>
    <x:row r="176">
      <x:c r="U176" s="1196"/>
      <x:c r="V176" s="1196"/>
      <x:c r="W176" s="1196"/>
      <x:c r="X176" s="1196"/>
    </x:row>
    <x:row r="177">
      <x:c r="U177" s="1196"/>
      <x:c r="V177" s="1196"/>
      <x:c r="W177" s="1196"/>
      <x:c r="X177" s="1196"/>
    </x:row>
    <x:row r="178">
      <x:c r="U178" s="1196"/>
      <x:c r="V178" s="1196"/>
      <x:c r="W178" s="1196"/>
      <x:c r="X178" s="1196"/>
    </x:row>
    <x:row r="179">
      <x:c r="U179" s="1196"/>
      <x:c r="V179" s="1196"/>
      <x:c r="W179" s="1196"/>
      <x:c r="X179" s="1196"/>
    </x:row>
    <x:row r="180">
      <x:c r="U180" s="1196"/>
      <x:c r="V180" s="1196"/>
      <x:c r="W180" s="1196"/>
      <x:c r="X180" s="1196"/>
    </x:row>
    <x:row r="181">
      <x:c r="U181" s="1196"/>
      <x:c r="V181" s="1196"/>
      <x:c r="W181" s="1196"/>
      <x:c r="X181" s="1196"/>
    </x:row>
    <x:row r="182">
      <x:c r="U182" s="1196"/>
      <x:c r="V182" s="1196"/>
      <x:c r="W182" s="1196"/>
      <x:c r="X182" s="1196"/>
    </x:row>
    <x:row r="183">
      <x:c r="U183" s="1196"/>
      <x:c r="V183" s="1196"/>
      <x:c r="W183" s="1196"/>
      <x:c r="X183" s="1196"/>
    </x:row>
    <x:row r="184">
      <x:c r="U184" s="1196"/>
      <x:c r="V184" s="1196"/>
      <x:c r="W184" s="1196"/>
      <x:c r="X184" s="1196"/>
    </x:row>
    <x:row r="185">
      <x:c r="U185" s="1196"/>
      <x:c r="V185" s="1196"/>
      <x:c r="W185" s="1196"/>
      <x:c r="X185" s="1196"/>
    </x:row>
    <x:row r="186">
      <x:c r="U186" s="1196"/>
      <x:c r="V186" s="1196"/>
      <x:c r="W186" s="1196"/>
      <x:c r="X186" s="1196"/>
    </x:row>
    <x:row r="187">
      <x:c r="U187" s="1196"/>
      <x:c r="V187" s="1196"/>
      <x:c r="W187" s="1196"/>
      <x:c r="X187" s="1196"/>
    </x:row>
    <x:row r="188">
      <x:c r="U188" s="1196"/>
      <x:c r="V188" s="1196"/>
      <x:c r="W188" s="1196"/>
      <x:c r="X188" s="1196"/>
    </x:row>
    <x:row r="189">
      <x:c r="U189" s="1196"/>
      <x:c r="V189" s="1196"/>
      <x:c r="W189" s="1196"/>
      <x:c r="X189" s="1196"/>
    </x:row>
    <x:row r="190">
      <x:c r="U190" s="1196"/>
      <x:c r="V190" s="1196"/>
      <x:c r="W190" s="1196"/>
      <x:c r="X190" s="1196"/>
    </x:row>
    <x:row r="191">
      <x:c r="U191" s="1196"/>
      <x:c r="V191" s="1196"/>
      <x:c r="W191" s="1196"/>
      <x:c r="X191" s="1196"/>
    </x:row>
    <x:row r="192">
      <x:c r="U192" s="1196"/>
      <x:c r="V192" s="1196"/>
      <x:c r="W192" s="1196"/>
      <x:c r="X192" s="1196"/>
    </x:row>
    <x:row r="193">
      <x:c r="U193" s="1196"/>
      <x:c r="V193" s="1196"/>
      <x:c r="W193" s="1196"/>
      <x:c r="X193" s="1196"/>
    </x:row>
    <x:row r="194">
      <x:c r="U194" s="1196"/>
      <x:c r="V194" s="1196"/>
      <x:c r="W194" s="1196"/>
      <x:c r="X194" s="1196"/>
    </x:row>
    <x:row r="195">
      <x:c r="U195" s="1196"/>
      <x:c r="V195" s="1196"/>
      <x:c r="W195" s="1196"/>
      <x:c r="X195" s="1196"/>
    </x:row>
    <x:row r="196">
      <x:c r="U196" s="1196"/>
      <x:c r="V196" s="1196"/>
      <x:c r="W196" s="1196"/>
      <x:c r="X196" s="1196"/>
    </x:row>
    <x:row r="197">
      <x:c r="U197" s="1196"/>
      <x:c r="V197" s="1196"/>
      <x:c r="W197" s="1196"/>
      <x:c r="X197" s="1196"/>
    </x:row>
    <x:row r="198">
      <x:c r="U198" s="1196"/>
      <x:c r="V198" s="1196"/>
      <x:c r="W198" s="1196"/>
      <x:c r="X198" s="1196"/>
    </x:row>
    <x:row r="199">
      <x:c r="U199" s="1196"/>
      <x:c r="V199" s="1196"/>
      <x:c r="W199" s="1196"/>
      <x:c r="X199" s="1196"/>
    </x:row>
    <x:row r="200">
      <x:c r="U200" s="1196"/>
      <x:c r="V200" s="1196"/>
      <x:c r="W200" s="1196"/>
      <x:c r="X200" s="1196"/>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Q1"/>
    <x:mergeCell ref="A2:Q2"/>
    <x:mergeCell ref="A21:Q21"/>
    <x:mergeCell ref="A22:C22"/>
    <x:mergeCell ref="D22:E22"/>
    <x:mergeCell ref="F22:G22"/>
    <x:mergeCell ref="H22:I22"/>
    <x:mergeCell ref="J22:K22"/>
    <x:mergeCell ref="L22:M22"/>
    <x:mergeCell ref="N22:Q22"/>
    <x:mergeCell ref="A23:C23"/>
    <x:mergeCell ref="D23:E23"/>
    <x:mergeCell ref="F23:G23"/>
    <x:mergeCell ref="H23:I23"/>
    <x:mergeCell ref="J23:K23"/>
    <x:mergeCell ref="L23:M23"/>
    <x:mergeCell ref="N23:Q23"/>
    <x:mergeCell ref="A24:C24"/>
    <x:mergeCell ref="D24:E24"/>
    <x:mergeCell ref="F24:G24"/>
    <x:mergeCell ref="H24:I24"/>
    <x:mergeCell ref="J24:K24"/>
    <x:mergeCell ref="L24:M24"/>
    <x:mergeCell ref="N24:Q24"/>
    <x:mergeCell ref="A25:C25"/>
    <x:mergeCell ref="D25:E25"/>
    <x:mergeCell ref="F25:G25"/>
    <x:mergeCell ref="H25:I25"/>
    <x:mergeCell ref="J25:K25"/>
    <x:mergeCell ref="L25:M25"/>
    <x:mergeCell ref="N25:Q25"/>
    <x:mergeCell ref="A26:C26"/>
    <x:mergeCell ref="D26:E26"/>
    <x:mergeCell ref="F26:G26"/>
    <x:mergeCell ref="H26:I26"/>
    <x:mergeCell ref="J26:K26"/>
    <x:mergeCell ref="L26:M26"/>
    <x:mergeCell ref="N26:Q26"/>
    <x:mergeCell ref="A27:C27"/>
    <x:mergeCell ref="D27:E27"/>
    <x:mergeCell ref="F27:G27"/>
    <x:mergeCell ref="H27:I27"/>
    <x:mergeCell ref="J27:K27"/>
    <x:mergeCell ref="L27:M27"/>
    <x:mergeCell ref="N27:Q27"/>
    <x:mergeCell ref="A28:C28"/>
    <x:mergeCell ref="D28:E28"/>
    <x:mergeCell ref="F28:G28"/>
    <x:mergeCell ref="H28:I28"/>
    <x:mergeCell ref="J28:K28"/>
    <x:mergeCell ref="L28:M28"/>
    <x:mergeCell ref="N28:Q28"/>
    <x:mergeCell ref="A29:C29"/>
    <x:mergeCell ref="D29:E29"/>
    <x:mergeCell ref="F29:G29"/>
    <x:mergeCell ref="H29:I29"/>
    <x:mergeCell ref="J29:K29"/>
    <x:mergeCell ref="L29:M29"/>
    <x:mergeCell ref="N29:Q29"/>
    <x:mergeCell ref="A30:C30"/>
    <x:mergeCell ref="D30:E30"/>
    <x:mergeCell ref="F30:G30"/>
    <x:mergeCell ref="H30:I30"/>
    <x:mergeCell ref="J30:K30"/>
    <x:mergeCell ref="L30:M30"/>
    <x:mergeCell ref="N30:Q30"/>
    <x:mergeCell ref="A31:C31"/>
    <x:mergeCell ref="D31:E31"/>
    <x:mergeCell ref="F31:G31"/>
    <x:mergeCell ref="H31:I31"/>
    <x:mergeCell ref="J31:K31"/>
    <x:mergeCell ref="L31:M31"/>
    <x:mergeCell ref="N31:Q31"/>
    <x:mergeCell ref="U1:X1"/>
    <x:mergeCell ref="V2:X2"/>
    <x:mergeCell ref="V3:X3"/>
    <x:mergeCell ref="V4:X4"/>
    <x:mergeCell ref="V5:X5"/>
    <x:mergeCell ref="V6:X6"/>
    <x:mergeCell ref="V7:X7"/>
  </x:mergeCells>
  <x:pageMargins left="0.7" right="0.7" top="0.75" bottom="0.75" header="0.3" footer="0.3"/>
</x:worksheet>
</file>

<file path=xl/worksheets/sheet21.xml><?xml version="1.0" encoding="utf-8"?>
<x:worksheet xmlns:x="http://schemas.openxmlformats.org/spreadsheetml/2006/main">
  <x:sheetFormatPr defaultRowHeight="15"/>
  <x:cols>
    <x:col min="1" max="1" width="24" hidden="0" customWidth="1"/>
    <x:col min="2" max="2" width="14" hidden="0" customWidth="1"/>
    <x:col min="3" max="3" width="14" hidden="0" customWidth="1"/>
    <x:col min="4" max="4" width="19" hidden="0" customWidth="1"/>
    <x:col min="5" max="5" width="19" hidden="0" customWidth="1"/>
    <x:col min="6" max="6" width="17" hidden="0" customWidth="1"/>
    <x:col min="7" max="7" width="15" hidden="0" customWidth="1"/>
    <x:col min="8" max="8" width="14" hidden="0" customWidth="1"/>
    <x:col min="9" max="9" width="15" hidden="0" customWidth="1"/>
    <x:col min="10" max="10" width="18" hidden="0" customWidth="1"/>
    <x:col min="11" max="11" width="18" hidden="0" customWidth="1"/>
    <x:col min="12" max="12" width="24" hidden="0" customWidth="1"/>
    <x:col min="21" max="21" width="20" hidden="0" customWidth="1"/>
    <x:col min="22" max="22" width="24" hidden="0" customWidth="1"/>
    <x:col min="23" max="23" width="24" hidden="0" customWidth="1"/>
    <x:col min="24" max="24" width="24" hidden="0" customWidth="1"/>
  </x:cols>
  <x:sheetData>
    <x:row r="1" ht="30" customHeight="1">
      <x:c r="A1" s="533" t="str">
        <x:v>Illustrative Justice Sensitivity — Not an Evidence-Based Forecast</x:v>
      </x:c>
      <x:c r="B1" s="533"/>
      <x:c r="C1" s="533"/>
      <x:c r="D1" s="533"/>
      <x:c r="E1" s="533"/>
      <x:c r="F1" s="533"/>
      <x:c r="G1" s="533"/>
      <x:c r="H1" s="533"/>
      <x:c r="I1" s="533"/>
      <x:c r="J1" s="533"/>
      <x:c r="K1" s="533"/>
      <x:c r="L1" s="533"/>
      <x:c r="U1" s="1196"/>
      <x:c r="V1" s="1196"/>
      <x:c r="W1" s="1196"/>
      <x:c r="X1" s="1196"/>
    </x:row>
    <x:row r="2" ht="28" customHeight="1">
      <x:c r="A2" s="537" t="str">
        <x:v>The headline evidence case remains zero. Resource values are not assumed to be immediate cashable Corrections savings.</x:v>
      </x:c>
      <x:c r="B2" s="537" t="str">
        <x:v>The headline evidence case remains zero. Resource values are not assumed to be immediate cashable Corrections savings.</x:v>
      </x:c>
      <x:c r="C2" s="537" t="str">
        <x:v>The headline evidence case remains zero. Resource values are not assumed to be immediate cashable Corrections savings.</x:v>
      </x:c>
      <x:c r="D2" s="537" t="str">
        <x:v>The headline evidence case remains zero. Resource values are not assumed to be immediate cashable Corrections savings.</x:v>
      </x:c>
      <x:c r="E2" s="537" t="str">
        <x:v>The headline evidence case remains zero. Resource values are not assumed to be immediate cashable Corrections savings.</x:v>
      </x:c>
      <x:c r="F2" s="537" t="str">
        <x:v>The headline evidence case remains zero. Resource values are not assumed to be immediate cashable Corrections savings.</x:v>
      </x:c>
      <x:c r="G2" s="537" t="str">
        <x:v>The headline evidence case remains zero. Resource values are not assumed to be immediate cashable Corrections savings.</x:v>
      </x:c>
      <x:c r="H2" s="537" t="str">
        <x:v>The headline evidence case remains zero. Resource values are not assumed to be immediate cashable Corrections savings.</x:v>
      </x:c>
      <x:c r="I2" s="537" t="str">
        <x:v>The headline evidence case remains zero. Resource values are not assumed to be immediate cashable Corrections savings.</x:v>
      </x:c>
      <x:c r="J2" s="537" t="str">
        <x:v>The headline evidence case remains zero. Resource values are not assumed to be immediate cashable Corrections savings.</x:v>
      </x:c>
      <x:c r="K2" s="537" t="str">
        <x:v>The headline evidence case remains zero. Resource values are not assumed to be immediate cashable Corrections savings.</x:v>
      </x:c>
      <x:c r="L2" s="537" t="str">
        <x:v>The headline evidence case remains zero. Resource values are not assumed to be immediate cashable Corrections savings.</x:v>
      </x:c>
      <x:c r="U2" s="1201"/>
      <x:c r="V2" s="1201"/>
      <x:c r="W2" s="1201"/>
      <x:c r="X2" s="1201"/>
    </x:row>
    <x:row r="3">
      <x:c r="U3" s="1201"/>
      <x:c r="V3" s="1201"/>
      <x:c r="W3" s="1201"/>
      <x:c r="X3" s="1201"/>
    </x:row>
    <x:row r="4" ht="28" customHeight="1">
      <x:c r="A4" s="527" t="str">
        <x:v>Scenario</x:v>
      </x:c>
      <x:c r="B4" s="527" t="str">
        <x:v>Justice sensitivity</x:v>
      </x:c>
      <x:c r="C4" s="527" t="str">
        <x:v>Averted sustained NEET cases</x:v>
      </x:c>
      <x:c r="D4" s="527" t="str">
        <x:v>Prisoner-years per applicable case</x:v>
      </x:c>
      <x:c r="E4" s="527" t="str">
        <x:v>Averted prisoner-years</x:v>
      </x:c>
      <x:c r="F4" s="527" t="str">
        <x:v>CBAx resource value / year</x:v>
      </x:c>
      <x:c r="G4" s="527" t="str">
        <x:v>Illustrative prison resource value</x:v>
      </x:c>
      <x:c r="H4" s="527" t="str">
        <x:v>Cashable Corrections saving</x:v>
      </x:c>
      <x:c r="U4" s="1201"/>
      <x:c r="V4" s="1201"/>
      <x:c r="W4" s="1201"/>
      <x:c r="X4" s="1201"/>
    </x:row>
    <x:row r="5">
      <x:c r="A5" s="600" t="str">
        <x:v>Headline evidence</x:v>
      </x:c>
      <x:c r="B5" s="601" t="n">
        <x:f>Assumptions!$E$124</x:f>
        <x:v>0</x:v>
      </x:c>
      <x:c r="C5" s="602" t="n">
        <x:f>'Benefits &amp; BCR'!$C$18</x:f>
        <x:v>1402.8434999999997</x:v>
      </x:c>
      <x:c r="D5" s="602" t="n">
        <x:f>Assumptions!$E$128</x:f>
        <x:v>1</x:v>
      </x:c>
      <x:c r="E5" s="602" t="n">
        <x:f>B5*C5*D5</x:f>
        <x:v>0</x:v>
      </x:c>
      <x:c r="F5" s="603" t="n">
        <x:f>Assumptions!$E$129</x:f>
        <x:v>211350</x:v>
      </x:c>
      <x:c r="G5" s="603" t="n">
        <x:f>E5*F5</x:f>
        <x:v>0</x:v>
      </x:c>
      <x:c r="H5" s="603" t="n">
        <x:f>G5*Assumptions!$E$131</x:f>
        <x:v>0</x:v>
      </x:c>
      <x:c r="U5" s="1201"/>
      <x:c r="V5" s="1201"/>
      <x:c r="W5" s="1201"/>
      <x:c r="X5" s="1201"/>
    </x:row>
    <x:row r="6">
      <x:c r="A6" t="str">
        <x:v>Low sensitivity</x:v>
      </x:c>
      <x:c r="B6" s="264" t="n">
        <x:f>Assumptions!$E$125</x:f>
        <x:v>0.005</x:v>
      </x:c>
      <x:c r="C6" s="599" t="n">
        <x:f>'Benefits &amp; BCR'!$C$18</x:f>
        <x:v>1402.8434999999997</x:v>
      </x:c>
      <x:c r="D6" s="599" t="n">
        <x:f>Assumptions!$E$128</x:f>
        <x:v>1</x:v>
      </x:c>
      <x:c r="E6" s="599" t="n">
        <x:f>B6*C6*D6</x:f>
        <x:v>7.014217499999999</x:v>
      </x:c>
      <x:c r="F6" s="160" t="n">
        <x:f>Assumptions!$E$129</x:f>
        <x:v>211350</x:v>
      </x:c>
      <x:c r="G6" s="160" t="n">
        <x:f>E6*F6</x:f>
        <x:v>1482454.868625</x:v>
      </x:c>
      <x:c r="H6" s="160" t="n">
        <x:f>G6*Assumptions!$E$131</x:f>
        <x:v>0</x:v>
      </x:c>
      <x:c r="U6" s="1201"/>
      <x:c r="V6" s="1201"/>
      <x:c r="W6" s="1201"/>
      <x:c r="X6" s="1201"/>
    </x:row>
    <x:row r="7">
      <x:c r="A7" s="580" t="str">
        <x:v>Central sensitivity</x:v>
      </x:c>
      <x:c r="B7" s="604" t="n">
        <x:f>Assumptions!$E$126</x:f>
        <x:v>0.01</x:v>
      </x:c>
      <x:c r="C7" s="605" t="n">
        <x:f>'Benefits &amp; BCR'!$C$18</x:f>
        <x:v>1402.8434999999997</x:v>
      </x:c>
      <x:c r="D7" s="605" t="n">
        <x:f>Assumptions!$E$128</x:f>
        <x:v>1</x:v>
      </x:c>
      <x:c r="E7" s="605" t="n">
        <x:f>B7*C7*D7</x:f>
        <x:v>14.028434999999998</x:v>
      </x:c>
      <x:c r="F7" s="579" t="n">
        <x:f>Assumptions!$E$129</x:f>
        <x:v>211350</x:v>
      </x:c>
      <x:c r="G7" s="579" t="n">
        <x:f>E7*F7</x:f>
        <x:v>2964909.73725</x:v>
      </x:c>
      <x:c r="H7" s="579" t="n">
        <x:f>G7*Assumptions!$E$131</x:f>
        <x:v>0</x:v>
      </x:c>
      <x:c r="U7" s="1201"/>
      <x:c r="V7" s="1201"/>
      <x:c r="W7" s="1201"/>
      <x:c r="X7" s="1201"/>
    </x:row>
    <x:row r="8">
      <x:c r="A8" t="str">
        <x:v>High sensitivity</x:v>
      </x:c>
      <x:c r="B8" s="264" t="n">
        <x:f>Assumptions!$E$127</x:f>
        <x:v>0.02</x:v>
      </x:c>
      <x:c r="C8" s="599" t="n">
        <x:f>'Benefits &amp; BCR'!$C$18</x:f>
        <x:v>1402.8434999999997</x:v>
      </x:c>
      <x:c r="D8" s="599" t="n">
        <x:f>Assumptions!$E$128</x:f>
        <x:v>1</x:v>
      </x:c>
      <x:c r="E8" s="599" t="n">
        <x:f>B8*C8*D8</x:f>
        <x:v>28.056869999999996</x:v>
      </x:c>
      <x:c r="F8" s="160" t="n">
        <x:f>Assumptions!$E$129</x:f>
        <x:v>211350</x:v>
      </x:c>
      <x:c r="G8" s="160" t="n">
        <x:f>E8*F8</x:f>
        <x:v>5929819.4745</x:v>
      </x:c>
      <x:c r="H8" s="160" t="n">
        <x:f>G8*Assumptions!$E$131</x:f>
        <x:v>0</x:v>
      </x:c>
      <x:c r="U8" s="1196"/>
      <x:c r="V8" s="1196"/>
      <x:c r="W8" s="1196"/>
      <x:c r="X8" s="1196"/>
    </x:row>
    <x:row r="9">
      <x:c r="U9" s="1196"/>
      <x:c r="V9" s="1196"/>
      <x:c r="W9" s="1196"/>
      <x:c r="X9" s="1196"/>
    </x:row>
    <x:row r="10">
      <x:c r="A10" s="608" t="str">
        <x:v>These sensitivities do not represent measured crime reduction, proven programme impact, prisoner numbers, or immediate cash released to fund participation payments. The CBAx value is a resource-value sensitivity. Corrections reports an average sentenced-prison cost of $552 per day in 2024/25, but notes that overhead and fixed costs are included.</x:v>
      </x:c>
      <x:c r="B10" s="608"/>
      <x:c r="C10" s="608"/>
      <x:c r="D10" s="608"/>
      <x:c r="E10" s="608"/>
      <x:c r="F10" s="608"/>
      <x:c r="G10" s="608"/>
      <x:c r="H10" s="608"/>
      <x:c r="I10" s="608"/>
      <x:c r="J10" s="608"/>
      <x:c r="K10" s="608"/>
      <x:c r="L10" s="608"/>
      <x:c r="U10" s="1196"/>
      <x:c r="V10" s="1196"/>
      <x:c r="W10" s="1196"/>
      <x:c r="X10" s="1196"/>
    </x:row>
    <x:row r="11">
      <x:c r="A11" s="608"/>
      <x:c r="B11" s="608"/>
      <x:c r="C11" s="608"/>
      <x:c r="D11" s="608"/>
      <x:c r="E11" s="608"/>
      <x:c r="F11" s="608"/>
      <x:c r="G11" s="608"/>
      <x:c r="H11" s="608"/>
      <x:c r="I11" s="608"/>
      <x:c r="J11" s="608"/>
      <x:c r="K11" s="608"/>
      <x:c r="L11" s="608"/>
      <x:c r="U11" s="1196"/>
      <x:c r="V11" s="1196"/>
      <x:c r="W11" s="1196"/>
      <x:c r="X11" s="1196"/>
    </x:row>
    <x:row r="12">
      <x:c r="A12" s="608"/>
      <x:c r="B12" s="608"/>
      <x:c r="C12" s="608"/>
      <x:c r="D12" s="608"/>
      <x:c r="E12" s="608"/>
      <x:c r="F12" s="608"/>
      <x:c r="G12" s="608"/>
      <x:c r="H12" s="608"/>
      <x:c r="I12" s="608"/>
      <x:c r="J12" s="608"/>
      <x:c r="K12" s="608"/>
      <x:c r="L12" s="608"/>
      <x:c r="U12" s="1196"/>
      <x:c r="V12" s="1196"/>
      <x:c r="W12" s="1196"/>
      <x:c r="X12" s="1196"/>
    </x:row>
    <x:row r="13">
      <x:c r="A13" s="608"/>
      <x:c r="B13" s="608"/>
      <x:c r="C13" s="608"/>
      <x:c r="D13" s="608"/>
      <x:c r="E13" s="608"/>
      <x:c r="F13" s="608"/>
      <x:c r="G13" s="608"/>
      <x:c r="H13" s="608"/>
      <x:c r="I13" s="608"/>
      <x:c r="J13" s="608"/>
      <x:c r="K13" s="608"/>
      <x:c r="L13" s="608"/>
      <x:c r="U13" s="1196"/>
      <x:c r="V13" s="1196"/>
      <x:c r="W13" s="1196"/>
      <x:c r="X13" s="1196"/>
    </x:row>
    <x:row r="14">
      <x:c r="U14" s="1196"/>
      <x:c r="V14" s="1196"/>
      <x:c r="W14" s="1196"/>
      <x:c r="X14" s="1196"/>
    </x:row>
    <x:row r="15" ht="22" customHeight="1">
      <x:c r="A15" s="506" t="str">
        <x:v>Victim-harm framework — central values remain zero pending evidence</x:v>
      </x:c>
      <x:c r="B15" s="506" t="str">
        <x:v>Victim-harm framework — central values remain zero pending evidence</x:v>
      </x:c>
      <x:c r="C15" s="506" t="str">
        <x:v>Victim-harm framework — central values remain zero pending evidence</x:v>
      </x:c>
      <x:c r="D15" s="506" t="str">
        <x:v>Victim-harm framework — central values remain zero pending evidence</x:v>
      </x:c>
      <x:c r="E15" s="506" t="str">
        <x:v>Victim-harm framework — central values remain zero pending evidence</x:v>
      </x:c>
      <x:c r="F15" s="506" t="str">
        <x:v>Victim-harm framework — central values remain zero pending evidence</x:v>
      </x:c>
      <x:c r="G15" s="506" t="str">
        <x:v>Victim-harm framework — central values remain zero pending evidence</x:v>
      </x:c>
      <x:c r="H15" s="506" t="str">
        <x:v>Victim-harm framework — central values remain zero pending evidence</x:v>
      </x:c>
      <x:c r="I15" s="506" t="str">
        <x:v>Victim-harm framework — central values remain zero pending evidence</x:v>
      </x:c>
      <x:c r="J15" s="506" t="str">
        <x:v>Victim-harm framework — central values remain zero pending evidence</x:v>
      </x:c>
      <x:c r="K15" s="506" t="str">
        <x:v>Victim-harm framework — central values remain zero pending evidence</x:v>
      </x:c>
      <x:c r="L15" s="506" t="str">
        <x:v>Victim-harm framework — central values remain zero pending evidence</x:v>
      </x:c>
      <x:c r="U15" s="1196"/>
      <x:c r="V15" s="1196"/>
      <x:c r="W15" s="1196"/>
      <x:c r="X15" s="1196"/>
    </x:row>
    <x:row r="16" ht="28" customHeight="1">
      <x:c r="A16" s="527" t="str">
        <x:v>Offence category</x:v>
      </x:c>
      <x:c r="B16" s="527" t="str">
        <x:v>Incidents prevented</x:v>
      </x:c>
      <x:c r="C16" s="527" t="str">
        <x:v>Victims per incident</x:v>
      </x:c>
      <x:c r="D16" s="527" t="str">
        <x:v>Private / victim harm per incident</x:v>
      </x:c>
      <x:c r="E16" s="527" t="str">
        <x:v>Justice-system component</x:v>
      </x:c>
      <x:c r="F16" s="527" t="str">
        <x:v>Source ID</x:v>
      </x:c>
      <x:c r="G16" s="527" t="str">
        <x:v>Programme attribution</x:v>
      </x:c>
      <x:c r="H16" s="527" t="str">
        <x:v>Confidence</x:v>
      </x:c>
      <x:c r="I16" s="527" t="str">
        <x:v>Overlap adjustment</x:v>
      </x:c>
      <x:c r="J16" s="527" t="str">
        <x:v>Adjusted private harm</x:v>
      </x:c>
      <x:c r="K16" s="527" t="str">
        <x:v>Adjusted justice component</x:v>
      </x:c>
      <x:c r="L16" s="527" t="str">
        <x:v>Central inclusion</x:v>
      </x:c>
      <x:c r="U16" s="1196"/>
      <x:c r="V16" s="1196"/>
      <x:c r="W16" s="1196"/>
      <x:c r="X16" s="1196"/>
    </x:row>
    <x:row r="17">
      <x:c r="A17" t="str">
        <x:v>Theft</x:v>
      </x:c>
      <x:c r="B17" s="610" t="n">
        <x:v>0</x:v>
      </x:c>
      <x:c r="C17" s="610" t="n">
        <x:v>0</x:v>
      </x:c>
      <x:c r="D17" s="611" t="n">
        <x:v>0</x:v>
      </x:c>
      <x:c r="E17" s="611" t="n">
        <x:v>0</x:v>
      </x:c>
      <x:c r="F17" s="609" t="str">
        <x:v>Source required</x:v>
      </x:c>
      <x:c r="G17" s="612" t="n">
        <x:v>0</x:v>
      </x:c>
      <x:c r="H17" s="609" t="str">
        <x:v>None</x:v>
      </x:c>
      <x:c r="I17" s="612" t="n">
        <x:v>0</x:v>
      </x:c>
      <x:c r="J17" s="249" t="n">
        <x:f>B17*C17*D17*G17*(1-I17)</x:f>
        <x:v>0</x:v>
      </x:c>
      <x:c r="K17" s="249" t="n">
        <x:f>B17*E17*G17*(1-I17)</x:f>
        <x:v>0</x:v>
      </x:c>
      <x:c r="L17" t="str">
        <x:v>Excluded pending evidence</x:v>
      </x:c>
      <x:c r="U17" s="1196"/>
      <x:c r="V17" s="1196"/>
      <x:c r="W17" s="1196"/>
      <x:c r="X17" s="1196"/>
    </x:row>
    <x:row r="18">
      <x:c r="A18" t="str">
        <x:v>Burglary</x:v>
      </x:c>
      <x:c r="B18" s="610" t="n">
        <x:v>0</x:v>
      </x:c>
      <x:c r="C18" s="610" t="n">
        <x:v>0</x:v>
      </x:c>
      <x:c r="D18" s="611" t="n">
        <x:v>0</x:v>
      </x:c>
      <x:c r="E18" s="611" t="n">
        <x:v>0</x:v>
      </x:c>
      <x:c r="F18" s="609" t="str">
        <x:v>Source required</x:v>
      </x:c>
      <x:c r="G18" s="612" t="n">
        <x:v>0</x:v>
      </x:c>
      <x:c r="H18" s="609" t="str">
        <x:v>None</x:v>
      </x:c>
      <x:c r="I18" s="612" t="n">
        <x:v>0</x:v>
      </x:c>
      <x:c r="J18" s="249" t="n">
        <x:f>B18*C18*D18*G18*(1-I18)</x:f>
        <x:v>0</x:v>
      </x:c>
      <x:c r="K18" s="249" t="n">
        <x:f>B18*E18*G18*(1-I18)</x:f>
        <x:v>0</x:v>
      </x:c>
      <x:c r="L18" t="str">
        <x:v>Excluded pending evidence</x:v>
      </x:c>
      <x:c r="U18" s="1196"/>
      <x:c r="V18" s="1196"/>
      <x:c r="W18" s="1196"/>
      <x:c r="X18" s="1196"/>
    </x:row>
    <x:row r="19">
      <x:c r="A19" t="str">
        <x:v>Robbery</x:v>
      </x:c>
      <x:c r="B19" s="610" t="n">
        <x:v>0</x:v>
      </x:c>
      <x:c r="C19" s="610" t="n">
        <x:v>0</x:v>
      </x:c>
      <x:c r="D19" s="611" t="n">
        <x:v>0</x:v>
      </x:c>
      <x:c r="E19" s="611" t="n">
        <x:v>0</x:v>
      </x:c>
      <x:c r="F19" s="609" t="str">
        <x:v>Source required</x:v>
      </x:c>
      <x:c r="G19" s="612" t="n">
        <x:v>0</x:v>
      </x:c>
      <x:c r="H19" s="609" t="str">
        <x:v>None</x:v>
      </x:c>
      <x:c r="I19" s="612" t="n">
        <x:v>0</x:v>
      </x:c>
      <x:c r="J19" s="249" t="n">
        <x:f>B19*C19*D19*G19*(1-I19)</x:f>
        <x:v>0</x:v>
      </x:c>
      <x:c r="K19" s="249" t="n">
        <x:f>B19*E19*G19*(1-I19)</x:f>
        <x:v>0</x:v>
      </x:c>
      <x:c r="L19" t="str">
        <x:v>Excluded pending evidence</x:v>
      </x:c>
      <x:c r="U19" s="1196"/>
      <x:c r="V19" s="1196"/>
      <x:c r="W19" s="1196"/>
      <x:c r="X19" s="1196"/>
    </x:row>
    <x:row r="20">
      <x:c r="A20" t="str">
        <x:v>Non-fatal violence</x:v>
      </x:c>
      <x:c r="B20" s="610" t="n">
        <x:v>0</x:v>
      </x:c>
      <x:c r="C20" s="610" t="n">
        <x:v>0</x:v>
      </x:c>
      <x:c r="D20" s="611" t="n">
        <x:v>0</x:v>
      </x:c>
      <x:c r="E20" s="611" t="n">
        <x:v>0</x:v>
      </x:c>
      <x:c r="F20" s="609" t="str">
        <x:v>Source required</x:v>
      </x:c>
      <x:c r="G20" s="612" t="n">
        <x:v>0</x:v>
      </x:c>
      <x:c r="H20" s="609" t="str">
        <x:v>None</x:v>
      </x:c>
      <x:c r="I20" s="612" t="n">
        <x:v>0</x:v>
      </x:c>
      <x:c r="J20" s="249" t="n">
        <x:f>B20*C20*D20*G20*(1-I20)</x:f>
        <x:v>0</x:v>
      </x:c>
      <x:c r="K20" s="249" t="n">
        <x:f>B20*E20*G20*(1-I20)</x:f>
        <x:v>0</x:v>
      </x:c>
      <x:c r="L20" t="str">
        <x:v>Excluded pending evidence</x:v>
      </x:c>
      <x:c r="U20" s="1196"/>
      <x:c r="V20" s="1196"/>
      <x:c r="W20" s="1196"/>
      <x:c r="X20" s="1196"/>
    </x:row>
    <x:row r="21">
      <x:c r="A21" t="str">
        <x:v>Assault</x:v>
      </x:c>
      <x:c r="B21" s="610" t="n">
        <x:v>0</x:v>
      </x:c>
      <x:c r="C21" s="610" t="n">
        <x:v>0</x:v>
      </x:c>
      <x:c r="D21" s="611" t="n">
        <x:v>0</x:v>
      </x:c>
      <x:c r="E21" s="611" t="n">
        <x:v>0</x:v>
      </x:c>
      <x:c r="F21" s="609" t="str">
        <x:v>Source required</x:v>
      </x:c>
      <x:c r="G21" s="612" t="n">
        <x:v>0</x:v>
      </x:c>
      <x:c r="H21" s="609" t="str">
        <x:v>None</x:v>
      </x:c>
      <x:c r="I21" s="612" t="n">
        <x:v>0</x:v>
      </x:c>
      <x:c r="J21" s="249" t="n">
        <x:f>B21*C21*D21*G21*(1-I21)</x:f>
        <x:v>0</x:v>
      </x:c>
      <x:c r="K21" s="249" t="n">
        <x:f>B21*E21*G21*(1-I21)</x:f>
        <x:v>0</x:v>
      </x:c>
      <x:c r="L21" t="str">
        <x:v>Excluded pending evidence</x:v>
      </x:c>
      <x:c r="U21" s="1196"/>
      <x:c r="V21" s="1196"/>
      <x:c r="W21" s="1196"/>
      <x:c r="X21" s="1196"/>
    </x:row>
    <x:row r="22">
      <x:c r="A22" t="str">
        <x:v>Property damage</x:v>
      </x:c>
      <x:c r="B22" s="610" t="n">
        <x:v>0</x:v>
      </x:c>
      <x:c r="C22" s="610" t="n">
        <x:v>0</x:v>
      </x:c>
      <x:c r="D22" s="611" t="n">
        <x:v>0</x:v>
      </x:c>
      <x:c r="E22" s="611" t="n">
        <x:v>0</x:v>
      </x:c>
      <x:c r="F22" s="609" t="str">
        <x:v>Source required</x:v>
      </x:c>
      <x:c r="G22" s="612" t="n">
        <x:v>0</x:v>
      </x:c>
      <x:c r="H22" s="609" t="str">
        <x:v>None</x:v>
      </x:c>
      <x:c r="I22" s="612" t="n">
        <x:v>0</x:v>
      </x:c>
      <x:c r="J22" s="249" t="n">
        <x:f>B22*C22*D22*G22*(1-I22)</x:f>
        <x:v>0</x:v>
      </x:c>
      <x:c r="K22" s="249" t="n">
        <x:f>B22*E22*G22*(1-I22)</x:f>
        <x:v>0</x:v>
      </x:c>
      <x:c r="L22" t="str">
        <x:v>Excluded pending evidence</x:v>
      </x:c>
      <x:c r="U22" s="1196"/>
      <x:c r="V22" s="1196"/>
      <x:c r="W22" s="1196"/>
      <x:c r="X22" s="1196"/>
    </x:row>
    <x:row r="23">
      <x:c r="A23" t="str">
        <x:v>Relevant drug offending</x:v>
      </x:c>
      <x:c r="B23" s="610" t="n">
        <x:v>0</x:v>
      </x:c>
      <x:c r="C23" s="610" t="n">
        <x:v>0</x:v>
      </x:c>
      <x:c r="D23" s="611" t="n">
        <x:v>0</x:v>
      </x:c>
      <x:c r="E23" s="611" t="n">
        <x:v>0</x:v>
      </x:c>
      <x:c r="F23" s="609" t="str">
        <x:v>Source required</x:v>
      </x:c>
      <x:c r="G23" s="612" t="n">
        <x:v>0</x:v>
      </x:c>
      <x:c r="H23" s="609" t="str">
        <x:v>None</x:v>
      </x:c>
      <x:c r="I23" s="612" t="n">
        <x:v>0</x:v>
      </x:c>
      <x:c r="J23" s="249" t="n">
        <x:f>B23*C23*D23*G23*(1-I23)</x:f>
        <x:v>0</x:v>
      </x:c>
      <x:c r="K23" s="249" t="n">
        <x:f>B23*E23*G23*(1-I23)</x:f>
        <x:v>0</x:v>
      </x:c>
      <x:c r="L23" t="str">
        <x:v>Excluded pending evidence</x:v>
      </x:c>
      <x:c r="U23" s="1196"/>
      <x:c r="V23" s="1196"/>
      <x:c r="W23" s="1196"/>
      <x:c r="X23" s="1196"/>
    </x:row>
    <x:row r="24">
      <x:c r="U24" s="1196"/>
      <x:c r="V24" s="1196"/>
      <x:c r="W24" s="1196"/>
      <x:c r="X24" s="1196"/>
    </x:row>
    <x:row r="25">
      <x:c r="A25" s="614" t="str">
        <x:v>Do not multiply prisoner numbers by a generic victim-cost value. Each offence category requires an offence mix, incidents, victims, source, attribution, confidence and overlap adjustment. Homicide is excluded from this analysis.</x:v>
      </x:c>
      <x:c r="B25" s="614"/>
      <x:c r="C25" s="614"/>
      <x:c r="D25" s="614"/>
      <x:c r="E25" s="614"/>
      <x:c r="F25" s="614"/>
      <x:c r="G25" s="614"/>
      <x:c r="H25" s="614"/>
      <x:c r="I25" s="614"/>
      <x:c r="J25" s="614"/>
      <x:c r="K25" s="614"/>
      <x:c r="L25" s="614"/>
      <x:c r="U25" s="1196"/>
      <x:c r="V25" s="1196"/>
      <x:c r="W25" s="1196"/>
      <x:c r="X25" s="1196"/>
    </x:row>
    <x:row r="26">
      <x:c r="A26" s="614"/>
      <x:c r="B26" s="614"/>
      <x:c r="C26" s="614"/>
      <x:c r="D26" s="614"/>
      <x:c r="E26" s="614"/>
      <x:c r="F26" s="614"/>
      <x:c r="G26" s="614"/>
      <x:c r="H26" s="614"/>
      <x:c r="I26" s="614"/>
      <x:c r="J26" s="614"/>
      <x:c r="K26" s="614"/>
      <x:c r="L26" s="614"/>
      <x:c r="U26" s="1196"/>
      <x:c r="V26" s="1196"/>
      <x:c r="W26" s="1196"/>
      <x:c r="X26" s="1196"/>
    </x:row>
    <x:row r="27">
      <x:c r="U27" s="1196"/>
      <x:c r="V27" s="1196"/>
      <x:c r="W27" s="1196"/>
      <x:c r="X27" s="1196"/>
    </x:row>
    <x:row r="28">
      <x:c r="U28" s="1196"/>
      <x:c r="V28" s="1196"/>
      <x:c r="W28" s="1196"/>
      <x:c r="X28" s="1196"/>
    </x:row>
    <x:row r="29">
      <x:c r="U29" s="1196"/>
      <x:c r="V29" s="1196"/>
      <x:c r="W29" s="1196"/>
      <x:c r="X29" s="1196"/>
    </x:row>
    <x:row r="30">
      <x:c r="U30" s="1196"/>
      <x:c r="V30" s="1196"/>
      <x:c r="W30" s="1196"/>
      <x:c r="X30" s="1196"/>
    </x:row>
    <x:row r="31">
      <x:c r="U31" s="1196"/>
      <x:c r="V31" s="1196"/>
      <x:c r="W31" s="1196"/>
      <x:c r="X31" s="1196"/>
    </x:row>
    <x:row r="32">
      <x:c r="U32" s="1196"/>
      <x:c r="V32" s="1196"/>
      <x:c r="W32" s="1196"/>
      <x:c r="X32" s="1196"/>
    </x:row>
    <x:row r="33">
      <x:c r="U33" s="1196"/>
      <x:c r="V33" s="1196"/>
      <x:c r="W33" s="1196"/>
      <x:c r="X33" s="1196"/>
    </x:row>
    <x:row r="34">
      <x:c r="U34" s="1196"/>
      <x:c r="V34" s="1196"/>
      <x:c r="W34" s="1196"/>
      <x:c r="X34" s="1196"/>
    </x:row>
    <x:row r="35">
      <x:c r="U35" s="1196"/>
      <x:c r="V35" s="1196"/>
      <x:c r="W35" s="1196"/>
      <x:c r="X35" s="1196"/>
    </x:row>
    <x:row r="36">
      <x:c r="U36" s="1196"/>
      <x:c r="V36" s="1196"/>
      <x:c r="W36" s="1196"/>
      <x:c r="X36" s="1196"/>
    </x:row>
    <x:row r="37">
      <x:c r="U37" s="1196"/>
      <x:c r="V37" s="1196"/>
      <x:c r="W37" s="1196"/>
      <x:c r="X37" s="1196"/>
    </x:row>
    <x:row r="38">
      <x:c r="U38" s="1196"/>
      <x:c r="V38" s="1196"/>
      <x:c r="W38" s="1196"/>
      <x:c r="X38" s="1196"/>
    </x:row>
    <x:row r="39">
      <x:c r="U39" s="1196"/>
      <x:c r="V39" s="1196"/>
      <x:c r="W39" s="1196"/>
      <x:c r="X39" s="1196"/>
    </x:row>
    <x:row r="40">
      <x:c r="U40" s="1196"/>
      <x:c r="V40" s="1196"/>
      <x:c r="W40" s="1196"/>
      <x:c r="X40" s="1196"/>
    </x:row>
    <x:row r="41">
      <x:c r="U41" s="1196"/>
      <x:c r="V41" s="1196"/>
      <x:c r="W41" s="1196"/>
      <x:c r="X41" s="1196"/>
    </x:row>
    <x:row r="42">
      <x:c r="U42" s="1196"/>
      <x:c r="V42" s="1196"/>
      <x:c r="W42" s="1196"/>
      <x:c r="X42" s="1196"/>
    </x:row>
    <x:row r="43">
      <x:c r="U43" s="1196"/>
      <x:c r="V43" s="1196"/>
      <x:c r="W43" s="1196"/>
      <x:c r="X43" s="1196"/>
    </x:row>
    <x:row r="44">
      <x:c r="U44" s="1196"/>
      <x:c r="V44" s="1196"/>
      <x:c r="W44" s="1196"/>
      <x:c r="X44" s="1196"/>
    </x:row>
    <x:row r="45">
      <x:c r="U45" s="1196"/>
      <x:c r="V45" s="1196"/>
      <x:c r="W45" s="1196"/>
      <x:c r="X45" s="1196"/>
    </x:row>
    <x:row r="46">
      <x:c r="U46" s="1196"/>
      <x:c r="V46" s="1196"/>
      <x:c r="W46" s="1196"/>
      <x:c r="X46" s="1196"/>
    </x:row>
    <x:row r="47">
      <x:c r="U47" s="1196"/>
      <x:c r="V47" s="1196"/>
      <x:c r="W47" s="1196"/>
      <x:c r="X47" s="1196"/>
    </x:row>
    <x:row r="48">
      <x:c r="U48" s="1196"/>
      <x:c r="V48" s="1196"/>
      <x:c r="W48" s="1196"/>
      <x:c r="X48" s="1196"/>
    </x:row>
    <x:row r="49">
      <x:c r="U49" s="1196"/>
      <x:c r="V49" s="1196"/>
      <x:c r="W49" s="1196"/>
      <x:c r="X49" s="1196"/>
    </x:row>
    <x:row r="50">
      <x:c r="U50" s="1196"/>
      <x:c r="V50" s="1196"/>
      <x:c r="W50" s="1196"/>
      <x:c r="X50" s="1196"/>
    </x:row>
    <x:row r="51">
      <x:c r="U51" s="1196"/>
      <x:c r="V51" s="1196"/>
      <x:c r="W51" s="1196"/>
      <x:c r="X51" s="1196"/>
    </x:row>
    <x:row r="52">
      <x:c r="U52" s="1196"/>
      <x:c r="V52" s="1196"/>
      <x:c r="W52" s="1196"/>
      <x:c r="X52" s="1196"/>
    </x:row>
    <x:row r="53">
      <x:c r="U53" s="1196"/>
      <x:c r="V53" s="1196"/>
      <x:c r="W53" s="1196"/>
      <x:c r="X53" s="1196"/>
    </x:row>
    <x:row r="54">
      <x:c r="U54" s="1196"/>
      <x:c r="V54" s="1196"/>
      <x:c r="W54" s="1196"/>
      <x:c r="X54" s="1196"/>
    </x:row>
    <x:row r="55">
      <x:c r="U55" s="1196"/>
      <x:c r="V55" s="1196"/>
      <x:c r="W55" s="1196"/>
      <x:c r="X55" s="1196"/>
    </x:row>
    <x:row r="56">
      <x:c r="U56" s="1196"/>
      <x:c r="V56" s="1196"/>
      <x:c r="W56" s="1196"/>
      <x:c r="X56" s="1196"/>
    </x:row>
    <x:row r="57">
      <x:c r="U57" s="1196"/>
      <x:c r="V57" s="1196"/>
      <x:c r="W57" s="1196"/>
      <x:c r="X57" s="1196"/>
    </x:row>
    <x:row r="58">
      <x:c r="U58" s="1196"/>
      <x:c r="V58" s="1196"/>
      <x:c r="W58" s="1196"/>
      <x:c r="X58" s="1196"/>
    </x:row>
    <x:row r="59">
      <x:c r="U59" s="1196"/>
      <x:c r="V59" s="1196"/>
      <x:c r="W59" s="1196"/>
      <x:c r="X59" s="1196"/>
    </x:row>
    <x:row r="60">
      <x:c r="U60" s="1196"/>
      <x:c r="V60" s="1196"/>
      <x:c r="W60" s="1196"/>
      <x:c r="X60" s="1196"/>
    </x:row>
    <x:row r="61">
      <x:c r="U61" s="1196"/>
      <x:c r="V61" s="1196"/>
      <x:c r="W61" s="1196"/>
      <x:c r="X61" s="1196"/>
    </x:row>
    <x:row r="62">
      <x:c r="U62" s="1196"/>
      <x:c r="V62" s="1196"/>
      <x:c r="W62" s="1196"/>
      <x:c r="X62" s="1196"/>
    </x:row>
    <x:row r="63">
      <x:c r="U63" s="1196"/>
      <x:c r="V63" s="1196"/>
      <x:c r="W63" s="1196"/>
      <x:c r="X63" s="1196"/>
    </x:row>
    <x:row r="64">
      <x:c r="U64" s="1196"/>
      <x:c r="V64" s="1196"/>
      <x:c r="W64" s="1196"/>
      <x:c r="X64" s="1196"/>
    </x:row>
    <x:row r="65">
      <x:c r="U65" s="1196"/>
      <x:c r="V65" s="1196"/>
      <x:c r="W65" s="1196"/>
      <x:c r="X65" s="1196"/>
    </x:row>
    <x:row r="66">
      <x:c r="U66" s="1196"/>
      <x:c r="V66" s="1196"/>
      <x:c r="W66" s="1196"/>
      <x:c r="X66" s="1196"/>
    </x:row>
    <x:row r="67">
      <x:c r="U67" s="1196"/>
      <x:c r="V67" s="1196"/>
      <x:c r="W67" s="1196"/>
      <x:c r="X67" s="1196"/>
    </x:row>
    <x:row r="68">
      <x:c r="U68" s="1196"/>
      <x:c r="V68" s="1196"/>
      <x:c r="W68" s="1196"/>
      <x:c r="X68" s="1196"/>
    </x:row>
    <x:row r="69">
      <x:c r="U69" s="1196"/>
      <x:c r="V69" s="1196"/>
      <x:c r="W69" s="1196"/>
      <x:c r="X69" s="1196"/>
    </x:row>
    <x:row r="70">
      <x:c r="U70" s="1196"/>
      <x:c r="V70" s="1196"/>
      <x:c r="W70" s="1196"/>
      <x:c r="X70" s="1196"/>
    </x:row>
    <x:row r="71">
      <x:c r="U71" s="1196"/>
      <x:c r="V71" s="1196"/>
      <x:c r="W71" s="1196"/>
      <x:c r="X71" s="1196"/>
    </x:row>
    <x:row r="72">
      <x:c r="U72" s="1196"/>
      <x:c r="V72" s="1196"/>
      <x:c r="W72" s="1196"/>
      <x:c r="X72" s="1196"/>
    </x:row>
    <x:row r="73">
      <x:c r="U73" s="1196"/>
      <x:c r="V73" s="1196"/>
      <x:c r="W73" s="1196"/>
      <x:c r="X73" s="1196"/>
    </x:row>
    <x:row r="74">
      <x:c r="U74" s="1196"/>
      <x:c r="V74" s="1196"/>
      <x:c r="W74" s="1196"/>
      <x:c r="X74" s="1196"/>
    </x:row>
    <x:row r="75">
      <x:c r="U75" s="1196"/>
      <x:c r="V75" s="1196"/>
      <x:c r="W75" s="1196"/>
      <x:c r="X75" s="1196"/>
    </x:row>
    <x:row r="76">
      <x:c r="U76" s="1196"/>
      <x:c r="V76" s="1196"/>
      <x:c r="W76" s="1196"/>
      <x:c r="X76" s="1196"/>
    </x:row>
    <x:row r="77">
      <x:c r="U77" s="1196"/>
      <x:c r="V77" s="1196"/>
      <x:c r="W77" s="1196"/>
      <x:c r="X77" s="1196"/>
    </x:row>
    <x:row r="78">
      <x:c r="U78" s="1196"/>
      <x:c r="V78" s="1196"/>
      <x:c r="W78" s="1196"/>
      <x:c r="X78" s="1196"/>
    </x:row>
    <x:row r="79">
      <x:c r="U79" s="1196"/>
      <x:c r="V79" s="1196"/>
      <x:c r="W79" s="1196"/>
      <x:c r="X79" s="1196"/>
    </x:row>
    <x:row r="80">
      <x:c r="U80" s="1196"/>
      <x:c r="V80" s="1196"/>
      <x:c r="W80" s="1196"/>
      <x:c r="X80" s="1196"/>
    </x:row>
    <x:row r="81">
      <x:c r="U81" s="1196"/>
      <x:c r="V81" s="1196"/>
      <x:c r="W81" s="1196"/>
      <x:c r="X81" s="1196"/>
    </x:row>
    <x:row r="82">
      <x:c r="U82" s="1196"/>
      <x:c r="V82" s="1196"/>
      <x:c r="W82" s="1196"/>
      <x:c r="X82" s="1196"/>
    </x:row>
    <x:row r="83">
      <x:c r="U83" s="1196"/>
      <x:c r="V83" s="1196"/>
      <x:c r="W83" s="1196"/>
      <x:c r="X83" s="1196"/>
    </x:row>
    <x:row r="84">
      <x:c r="U84" s="1196"/>
      <x:c r="V84" s="1196"/>
      <x:c r="W84" s="1196"/>
      <x:c r="X84" s="1196"/>
    </x:row>
    <x:row r="85">
      <x:c r="U85" s="1196"/>
      <x:c r="V85" s="1196"/>
      <x:c r="W85" s="1196"/>
      <x:c r="X85" s="1196"/>
    </x:row>
    <x:row r="86">
      <x:c r="U86" s="1196"/>
      <x:c r="V86" s="1196"/>
      <x:c r="W86" s="1196"/>
      <x:c r="X86" s="1196"/>
    </x:row>
    <x:row r="87">
      <x:c r="U87" s="1196"/>
      <x:c r="V87" s="1196"/>
      <x:c r="W87" s="1196"/>
      <x:c r="X87" s="1196"/>
    </x:row>
    <x:row r="88">
      <x:c r="U88" s="1196"/>
      <x:c r="V88" s="1196"/>
      <x:c r="W88" s="1196"/>
      <x:c r="X88" s="1196"/>
    </x:row>
    <x:row r="89">
      <x:c r="U89" s="1196"/>
      <x:c r="V89" s="1196"/>
      <x:c r="W89" s="1196"/>
      <x:c r="X89" s="1196"/>
    </x:row>
    <x:row r="90">
      <x:c r="U90" s="1196"/>
      <x:c r="V90" s="1196"/>
      <x:c r="W90" s="1196"/>
      <x:c r="X90" s="1196"/>
    </x:row>
    <x:row r="91">
      <x:c r="U91" s="1196"/>
      <x:c r="V91" s="1196"/>
      <x:c r="W91" s="1196"/>
      <x:c r="X91" s="1196"/>
    </x:row>
    <x:row r="92">
      <x:c r="U92" s="1196"/>
      <x:c r="V92" s="1196"/>
      <x:c r="W92" s="1196"/>
      <x:c r="X92" s="1196"/>
    </x:row>
    <x:row r="93">
      <x:c r="U93" s="1196"/>
      <x:c r="V93" s="1196"/>
      <x:c r="W93" s="1196"/>
      <x:c r="X93" s="1196"/>
    </x:row>
    <x:row r="94">
      <x:c r="U94" s="1196"/>
      <x:c r="V94" s="1196"/>
      <x:c r="W94" s="1196"/>
      <x:c r="X94" s="1196"/>
    </x:row>
    <x:row r="95">
      <x:c r="U95" s="1196"/>
      <x:c r="V95" s="1196"/>
      <x:c r="W95" s="1196"/>
      <x:c r="X95" s="1196"/>
    </x:row>
    <x:row r="96">
      <x:c r="U96" s="1196"/>
      <x:c r="V96" s="1196"/>
      <x:c r="W96" s="1196"/>
      <x:c r="X96" s="1196"/>
    </x:row>
    <x:row r="97">
      <x:c r="U97" s="1196"/>
      <x:c r="V97" s="1196"/>
      <x:c r="W97" s="1196"/>
      <x:c r="X97" s="1196"/>
    </x:row>
    <x:row r="98">
      <x:c r="U98" s="1196"/>
      <x:c r="V98" s="1196"/>
      <x:c r="W98" s="1196"/>
      <x:c r="X98" s="1196"/>
    </x:row>
    <x:row r="99">
      <x:c r="U99" s="1196"/>
      <x:c r="V99" s="1196"/>
      <x:c r="W99" s="1196"/>
      <x:c r="X99" s="1196"/>
    </x:row>
    <x:row r="100">
      <x:c r="U100" s="1196"/>
      <x:c r="V100" s="1196"/>
      <x:c r="W100" s="1196"/>
      <x:c r="X100" s="1196"/>
    </x:row>
    <x:row r="101">
      <x:c r="U101" s="1196"/>
      <x:c r="V101" s="1196"/>
      <x:c r="W101" s="1196"/>
      <x:c r="X101" s="1196"/>
    </x:row>
    <x:row r="102">
      <x:c r="U102" s="1196"/>
      <x:c r="V102" s="1196"/>
      <x:c r="W102" s="1196"/>
      <x:c r="X102" s="1196"/>
    </x:row>
    <x:row r="103">
      <x:c r="U103" s="1196"/>
      <x:c r="V103" s="1196"/>
      <x:c r="W103" s="1196"/>
      <x:c r="X103" s="1196"/>
    </x:row>
    <x:row r="104">
      <x:c r="U104" s="1196"/>
      <x:c r="V104" s="1196"/>
      <x:c r="W104" s="1196"/>
      <x:c r="X104" s="1196"/>
    </x:row>
    <x:row r="105">
      <x:c r="U105" s="1196"/>
      <x:c r="V105" s="1196"/>
      <x:c r="W105" s="1196"/>
      <x:c r="X105" s="1196"/>
    </x:row>
    <x:row r="106">
      <x:c r="U106" s="1196"/>
      <x:c r="V106" s="1196"/>
      <x:c r="W106" s="1196"/>
      <x:c r="X106" s="1196"/>
    </x:row>
    <x:row r="107">
      <x:c r="U107" s="1196"/>
      <x:c r="V107" s="1196"/>
      <x:c r="W107" s="1196"/>
      <x:c r="X107" s="1196"/>
    </x:row>
    <x:row r="108">
      <x:c r="U108" s="1196"/>
      <x:c r="V108" s="1196"/>
      <x:c r="W108" s="1196"/>
      <x:c r="X108" s="1196"/>
    </x:row>
    <x:row r="109">
      <x:c r="U109" s="1196"/>
      <x:c r="V109" s="1196"/>
      <x:c r="W109" s="1196"/>
      <x:c r="X109" s="1196"/>
    </x:row>
    <x:row r="110">
      <x:c r="U110" s="1196"/>
      <x:c r="V110" s="1196"/>
      <x:c r="W110" s="1196"/>
      <x:c r="X110" s="1196"/>
    </x:row>
    <x:row r="111">
      <x:c r="U111" s="1196"/>
      <x:c r="V111" s="1196"/>
      <x:c r="W111" s="1196"/>
      <x:c r="X111" s="1196"/>
    </x:row>
    <x:row r="112">
      <x:c r="U112" s="1196"/>
      <x:c r="V112" s="1196"/>
      <x:c r="W112" s="1196"/>
      <x:c r="X112" s="1196"/>
    </x:row>
    <x:row r="113">
      <x:c r="U113" s="1196"/>
      <x:c r="V113" s="1196"/>
      <x:c r="W113" s="1196"/>
      <x:c r="X113" s="1196"/>
    </x:row>
    <x:row r="114">
      <x:c r="U114" s="1196"/>
      <x:c r="V114" s="1196"/>
      <x:c r="W114" s="1196"/>
      <x:c r="X114" s="1196"/>
    </x:row>
    <x:row r="115">
      <x:c r="U115" s="1196"/>
      <x:c r="V115" s="1196"/>
      <x:c r="W115" s="1196"/>
      <x:c r="X115" s="1196"/>
    </x:row>
    <x:row r="116">
      <x:c r="U116" s="1196"/>
      <x:c r="V116" s="1196"/>
      <x:c r="W116" s="1196"/>
      <x:c r="X116" s="1196"/>
    </x:row>
    <x:row r="117">
      <x:c r="U117" s="1196"/>
      <x:c r="V117" s="1196"/>
      <x:c r="W117" s="1196"/>
      <x:c r="X117" s="1196"/>
    </x:row>
    <x:row r="118">
      <x:c r="U118" s="1196"/>
      <x:c r="V118" s="1196"/>
      <x:c r="W118" s="1196"/>
      <x:c r="X118" s="1196"/>
    </x:row>
    <x:row r="119">
      <x:c r="U119" s="1196"/>
      <x:c r="V119" s="1196"/>
      <x:c r="W119" s="1196"/>
      <x:c r="X119" s="1196"/>
    </x:row>
    <x:row r="120">
      <x:c r="U120" s="1196"/>
      <x:c r="V120" s="1196"/>
      <x:c r="W120" s="1196"/>
      <x:c r="X120" s="1196"/>
    </x:row>
    <x:row r="121">
      <x:c r="U121" s="1196"/>
      <x:c r="V121" s="1196"/>
      <x:c r="W121" s="1196"/>
      <x:c r="X121" s="1196"/>
    </x:row>
    <x:row r="122">
      <x:c r="U122" s="1196"/>
      <x:c r="V122" s="1196"/>
      <x:c r="W122" s="1196"/>
      <x:c r="X122" s="1196"/>
    </x:row>
    <x:row r="123">
      <x:c r="U123" s="1196"/>
      <x:c r="V123" s="1196"/>
      <x:c r="W123" s="1196"/>
      <x:c r="X123" s="1196"/>
    </x:row>
    <x:row r="124">
      <x:c r="U124" s="1196"/>
      <x:c r="V124" s="1196"/>
      <x:c r="W124" s="1196"/>
      <x:c r="X124" s="1196"/>
    </x:row>
    <x:row r="125">
      <x:c r="U125" s="1196"/>
      <x:c r="V125" s="1196"/>
      <x:c r="W125" s="1196"/>
      <x:c r="X125" s="1196"/>
    </x:row>
    <x:row r="126">
      <x:c r="U126" s="1196"/>
      <x:c r="V126" s="1196"/>
      <x:c r="W126" s="1196"/>
      <x:c r="X126" s="1196"/>
    </x:row>
    <x:row r="127">
      <x:c r="U127" s="1196"/>
      <x:c r="V127" s="1196"/>
      <x:c r="W127" s="1196"/>
      <x:c r="X127" s="1196"/>
    </x:row>
    <x:row r="128">
      <x:c r="U128" s="1196"/>
      <x:c r="V128" s="1196"/>
      <x:c r="W128" s="1196"/>
      <x:c r="X128" s="1196"/>
    </x:row>
    <x:row r="129">
      <x:c r="U129" s="1196"/>
      <x:c r="V129" s="1196"/>
      <x:c r="W129" s="1196"/>
      <x:c r="X129" s="1196"/>
    </x:row>
    <x:row r="130">
      <x:c r="U130" s="1196"/>
      <x:c r="V130" s="1196"/>
      <x:c r="W130" s="1196"/>
      <x:c r="X130" s="1196"/>
    </x:row>
    <x:row r="131">
      <x:c r="U131" s="1196"/>
      <x:c r="V131" s="1196"/>
      <x:c r="W131" s="1196"/>
      <x:c r="X131" s="1196"/>
    </x:row>
    <x:row r="132">
      <x:c r="U132" s="1196"/>
      <x:c r="V132" s="1196"/>
      <x:c r="W132" s="1196"/>
      <x:c r="X132" s="1196"/>
    </x:row>
    <x:row r="133">
      <x:c r="U133" s="1196"/>
      <x:c r="V133" s="1196"/>
      <x:c r="W133" s="1196"/>
      <x:c r="X133" s="1196"/>
    </x:row>
    <x:row r="134">
      <x:c r="U134" s="1196"/>
      <x:c r="V134" s="1196"/>
      <x:c r="W134" s="1196"/>
      <x:c r="X134" s="1196"/>
    </x:row>
    <x:row r="135">
      <x:c r="U135" s="1196"/>
      <x:c r="V135" s="1196"/>
      <x:c r="W135" s="1196"/>
      <x:c r="X135" s="1196"/>
    </x:row>
    <x:row r="136">
      <x:c r="U136" s="1196"/>
      <x:c r="V136" s="1196"/>
      <x:c r="W136" s="1196"/>
      <x:c r="X136" s="1196"/>
    </x:row>
    <x:row r="137">
      <x:c r="U137" s="1196"/>
      <x:c r="V137" s="1196"/>
      <x:c r="W137" s="1196"/>
      <x:c r="X137" s="1196"/>
    </x:row>
    <x:row r="138">
      <x:c r="U138" s="1196"/>
      <x:c r="V138" s="1196"/>
      <x:c r="W138" s="1196"/>
      <x:c r="X138" s="1196"/>
    </x:row>
    <x:row r="139">
      <x:c r="U139" s="1196"/>
      <x:c r="V139" s="1196"/>
      <x:c r="W139" s="1196"/>
      <x:c r="X139" s="1196"/>
    </x:row>
    <x:row r="140">
      <x:c r="U140" s="1196"/>
      <x:c r="V140" s="1196"/>
      <x:c r="W140" s="1196"/>
      <x:c r="X140" s="1196"/>
    </x:row>
    <x:row r="141">
      <x:c r="U141" s="1196"/>
      <x:c r="V141" s="1196"/>
      <x:c r="W141" s="1196"/>
      <x:c r="X141" s="1196"/>
    </x:row>
    <x:row r="142">
      <x:c r="U142" s="1196"/>
      <x:c r="V142" s="1196"/>
      <x:c r="W142" s="1196"/>
      <x:c r="X142" s="1196"/>
    </x:row>
    <x:row r="143">
      <x:c r="U143" s="1196"/>
      <x:c r="V143" s="1196"/>
      <x:c r="W143" s="1196"/>
      <x:c r="X143" s="1196"/>
    </x:row>
    <x:row r="144">
      <x:c r="U144" s="1196"/>
      <x:c r="V144" s="1196"/>
      <x:c r="W144" s="1196"/>
      <x:c r="X144" s="1196"/>
    </x:row>
    <x:row r="145">
      <x:c r="U145" s="1196"/>
      <x:c r="V145" s="1196"/>
      <x:c r="W145" s="1196"/>
      <x:c r="X145" s="1196"/>
    </x:row>
    <x:row r="146">
      <x:c r="U146" s="1196"/>
      <x:c r="V146" s="1196"/>
      <x:c r="W146" s="1196"/>
      <x:c r="X146" s="1196"/>
    </x:row>
    <x:row r="147">
      <x:c r="U147" s="1196"/>
      <x:c r="V147" s="1196"/>
      <x:c r="W147" s="1196"/>
      <x:c r="X147" s="1196"/>
    </x:row>
    <x:row r="148">
      <x:c r="U148" s="1196"/>
      <x:c r="V148" s="1196"/>
      <x:c r="W148" s="1196"/>
      <x:c r="X148" s="1196"/>
    </x:row>
    <x:row r="149">
      <x:c r="U149" s="1196"/>
      <x:c r="V149" s="1196"/>
      <x:c r="W149" s="1196"/>
      <x:c r="X149" s="1196"/>
    </x:row>
    <x:row r="150">
      <x:c r="U150" s="1196"/>
      <x:c r="V150" s="1196"/>
      <x:c r="W150" s="1196"/>
      <x:c r="X150" s="1196"/>
    </x:row>
    <x:row r="151">
      <x:c r="U151" s="1196"/>
      <x:c r="V151" s="1196"/>
      <x:c r="W151" s="1196"/>
      <x:c r="X151" s="1196"/>
    </x:row>
    <x:row r="152">
      <x:c r="U152" s="1196"/>
      <x:c r="V152" s="1196"/>
      <x:c r="W152" s="1196"/>
      <x:c r="X152" s="1196"/>
    </x:row>
    <x:row r="153">
      <x:c r="U153" s="1196"/>
      <x:c r="V153" s="1196"/>
      <x:c r="W153" s="1196"/>
      <x:c r="X153" s="1196"/>
    </x:row>
    <x:row r="154">
      <x:c r="U154" s="1196"/>
      <x:c r="V154" s="1196"/>
      <x:c r="W154" s="1196"/>
      <x:c r="X154" s="1196"/>
    </x:row>
    <x:row r="155">
      <x:c r="U155" s="1196"/>
      <x:c r="V155" s="1196"/>
      <x:c r="W155" s="1196"/>
      <x:c r="X155" s="1196"/>
    </x:row>
    <x:row r="156">
      <x:c r="U156" s="1196"/>
      <x:c r="V156" s="1196"/>
      <x:c r="W156" s="1196"/>
      <x:c r="X156" s="1196"/>
    </x:row>
    <x:row r="157">
      <x:c r="U157" s="1196"/>
      <x:c r="V157" s="1196"/>
      <x:c r="W157" s="1196"/>
      <x:c r="X157" s="1196"/>
    </x:row>
    <x:row r="158">
      <x:c r="U158" s="1196"/>
      <x:c r="V158" s="1196"/>
      <x:c r="W158" s="1196"/>
      <x:c r="X158" s="1196"/>
    </x:row>
    <x:row r="159">
      <x:c r="U159" s="1196"/>
      <x:c r="V159" s="1196"/>
      <x:c r="W159" s="1196"/>
      <x:c r="X159" s="1196"/>
    </x:row>
    <x:row r="160">
      <x:c r="U160" s="1196"/>
      <x:c r="V160" s="1196"/>
      <x:c r="W160" s="1196"/>
      <x:c r="X160" s="1196"/>
    </x:row>
    <x:row r="161">
      <x:c r="U161" s="1196"/>
      <x:c r="V161" s="1196"/>
      <x:c r="W161" s="1196"/>
      <x:c r="X161" s="1196"/>
    </x:row>
    <x:row r="162">
      <x:c r="U162" s="1196"/>
      <x:c r="V162" s="1196"/>
      <x:c r="W162" s="1196"/>
      <x:c r="X162" s="1196"/>
    </x:row>
    <x:row r="163">
      <x:c r="U163" s="1196"/>
      <x:c r="V163" s="1196"/>
      <x:c r="W163" s="1196"/>
      <x:c r="X163" s="1196"/>
    </x:row>
    <x:row r="164">
      <x:c r="U164" s="1196"/>
      <x:c r="V164" s="1196"/>
      <x:c r="W164" s="1196"/>
      <x:c r="X164" s="1196"/>
    </x:row>
    <x:row r="165">
      <x:c r="U165" s="1196"/>
      <x:c r="V165" s="1196"/>
      <x:c r="W165" s="1196"/>
      <x:c r="X165" s="1196"/>
    </x:row>
    <x:row r="166">
      <x:c r="U166" s="1196"/>
      <x:c r="V166" s="1196"/>
      <x:c r="W166" s="1196"/>
      <x:c r="X166" s="1196"/>
    </x:row>
    <x:row r="167">
      <x:c r="U167" s="1196"/>
      <x:c r="V167" s="1196"/>
      <x:c r="W167" s="1196"/>
      <x:c r="X167" s="1196"/>
    </x:row>
    <x:row r="168">
      <x:c r="U168" s="1196"/>
      <x:c r="V168" s="1196"/>
      <x:c r="W168" s="1196"/>
      <x:c r="X168" s="1196"/>
    </x:row>
    <x:row r="169">
      <x:c r="U169" s="1196"/>
      <x:c r="V169" s="1196"/>
      <x:c r="W169" s="1196"/>
      <x:c r="X169" s="1196"/>
    </x:row>
    <x:row r="170">
      <x:c r="U170" s="1196"/>
      <x:c r="V170" s="1196"/>
      <x:c r="W170" s="1196"/>
      <x:c r="X170" s="1196"/>
    </x:row>
    <x:row r="171">
      <x:c r="U171" s="1196"/>
      <x:c r="V171" s="1196"/>
      <x:c r="W171" s="1196"/>
      <x:c r="X171" s="1196"/>
    </x:row>
    <x:row r="172">
      <x:c r="U172" s="1196"/>
      <x:c r="V172" s="1196"/>
      <x:c r="W172" s="1196"/>
      <x:c r="X172" s="1196"/>
    </x:row>
    <x:row r="173">
      <x:c r="U173" s="1196"/>
      <x:c r="V173" s="1196"/>
      <x:c r="W173" s="1196"/>
      <x:c r="X173" s="1196"/>
    </x:row>
    <x:row r="174">
      <x:c r="U174" s="1196"/>
      <x:c r="V174" s="1196"/>
      <x:c r="W174" s="1196"/>
      <x:c r="X174" s="1196"/>
    </x:row>
    <x:row r="175">
      <x:c r="U175" s="1196"/>
      <x:c r="V175" s="1196"/>
      <x:c r="W175" s="1196"/>
      <x:c r="X175" s="1196"/>
    </x:row>
    <x:row r="176">
      <x:c r="U176" s="1196"/>
      <x:c r="V176" s="1196"/>
      <x:c r="W176" s="1196"/>
      <x:c r="X176" s="1196"/>
    </x:row>
    <x:row r="177">
      <x:c r="U177" s="1196"/>
      <x:c r="V177" s="1196"/>
      <x:c r="W177" s="1196"/>
      <x:c r="X177" s="1196"/>
    </x:row>
    <x:row r="178">
      <x:c r="U178" s="1196"/>
      <x:c r="V178" s="1196"/>
      <x:c r="W178" s="1196"/>
      <x:c r="X178" s="1196"/>
    </x:row>
    <x:row r="179">
      <x:c r="U179" s="1196"/>
      <x:c r="V179" s="1196"/>
      <x:c r="W179" s="1196"/>
      <x:c r="X179" s="1196"/>
    </x:row>
    <x:row r="180">
      <x:c r="U180" s="1196"/>
      <x:c r="V180" s="1196"/>
      <x:c r="W180" s="1196"/>
      <x:c r="X180" s="1196"/>
    </x:row>
    <x:row r="181">
      <x:c r="U181" s="1196"/>
      <x:c r="V181" s="1196"/>
      <x:c r="W181" s="1196"/>
      <x:c r="X181" s="1196"/>
    </x:row>
    <x:row r="182">
      <x:c r="U182" s="1196"/>
      <x:c r="V182" s="1196"/>
      <x:c r="W182" s="1196"/>
      <x:c r="X182" s="1196"/>
    </x:row>
    <x:row r="183">
      <x:c r="U183" s="1196"/>
      <x:c r="V183" s="1196"/>
      <x:c r="W183" s="1196"/>
      <x:c r="X183" s="1196"/>
    </x:row>
    <x:row r="184">
      <x:c r="U184" s="1196"/>
      <x:c r="V184" s="1196"/>
      <x:c r="W184" s="1196"/>
      <x:c r="X184" s="1196"/>
    </x:row>
    <x:row r="185">
      <x:c r="U185" s="1196"/>
      <x:c r="V185" s="1196"/>
      <x:c r="W185" s="1196"/>
      <x:c r="X185" s="1196"/>
    </x:row>
    <x:row r="186">
      <x:c r="U186" s="1196"/>
      <x:c r="V186" s="1196"/>
      <x:c r="W186" s="1196"/>
      <x:c r="X186" s="1196"/>
    </x:row>
    <x:row r="187">
      <x:c r="U187" s="1196"/>
      <x:c r="V187" s="1196"/>
      <x:c r="W187" s="1196"/>
      <x:c r="X187" s="1196"/>
    </x:row>
    <x:row r="188">
      <x:c r="U188" s="1196"/>
      <x:c r="V188" s="1196"/>
      <x:c r="W188" s="1196"/>
      <x:c r="X188" s="1196"/>
    </x:row>
    <x:row r="189">
      <x:c r="U189" s="1196"/>
      <x:c r="V189" s="1196"/>
      <x:c r="W189" s="1196"/>
      <x:c r="X189" s="1196"/>
    </x:row>
    <x:row r="190">
      <x:c r="U190" s="1196"/>
      <x:c r="V190" s="1196"/>
      <x:c r="W190" s="1196"/>
      <x:c r="X190" s="1196"/>
    </x:row>
    <x:row r="191">
      <x:c r="U191" s="1196"/>
      <x:c r="V191" s="1196"/>
      <x:c r="W191" s="1196"/>
      <x:c r="X191" s="1196"/>
    </x:row>
    <x:row r="192">
      <x:c r="U192" s="1196"/>
      <x:c r="V192" s="1196"/>
      <x:c r="W192" s="1196"/>
      <x:c r="X192" s="1196"/>
    </x:row>
    <x:row r="193">
      <x:c r="U193" s="1196"/>
      <x:c r="V193" s="1196"/>
      <x:c r="W193" s="1196"/>
      <x:c r="X193" s="1196"/>
    </x:row>
    <x:row r="194">
      <x:c r="U194" s="1196"/>
      <x:c r="V194" s="1196"/>
      <x:c r="W194" s="1196"/>
      <x:c r="X194" s="1196"/>
    </x:row>
    <x:row r="195">
      <x:c r="U195" s="1196"/>
      <x:c r="V195" s="1196"/>
      <x:c r="W195" s="1196"/>
      <x:c r="X195" s="1196"/>
    </x:row>
    <x:row r="196">
      <x:c r="U196" s="1196"/>
      <x:c r="V196" s="1196"/>
      <x:c r="W196" s="1196"/>
      <x:c r="X196" s="1196"/>
    </x:row>
    <x:row r="197">
      <x:c r="U197" s="1196"/>
      <x:c r="V197" s="1196"/>
      <x:c r="W197" s="1196"/>
      <x:c r="X197" s="1196"/>
    </x:row>
    <x:row r="198">
      <x:c r="U198" s="1196"/>
      <x:c r="V198" s="1196"/>
      <x:c r="W198" s="1196"/>
      <x:c r="X198" s="1196"/>
    </x:row>
    <x:row r="199">
      <x:c r="U199" s="1196"/>
      <x:c r="V199" s="1196"/>
      <x:c r="W199" s="1196"/>
      <x:c r="X199" s="1196"/>
    </x:row>
    <x:row r="200">
      <x:c r="U200" s="1196"/>
      <x:c r="V200" s="1196"/>
      <x:c r="W200" s="1196"/>
      <x:c r="X200" s="1196"/>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L1"/>
    <x:mergeCell ref="A2:L2"/>
    <x:mergeCell ref="A10:L13"/>
    <x:mergeCell ref="A15:L15"/>
    <x:mergeCell ref="A25:L26"/>
    <x:mergeCell ref="U1:X1"/>
    <x:mergeCell ref="V2:X2"/>
    <x:mergeCell ref="V3:X3"/>
    <x:mergeCell ref="V4:X4"/>
    <x:mergeCell ref="V5:X5"/>
    <x:mergeCell ref="V6:X6"/>
    <x:mergeCell ref="V7:X7"/>
  </x:mergeCells>
  <x:pageMargins left="0.7" right="0.7" top="0.75" bottom="0.75" header="0.3" footer="0.3"/>
</x:worksheet>
</file>

<file path=xl/worksheets/sheet22.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27" hidden="0" customWidth="1"/>
    <x:col min="9" max="9" width="17" hidden="0" customWidth="1"/>
    <x:col min="10" max="10" width="17" hidden="0" customWidth="1"/>
    <x:col min="11" max="11" width="18" hidden="0" customWidth="1"/>
    <x:col min="12" max="12" width="18" hidden="0" customWidth="1"/>
    <x:col min="13" max="13" width="20" hidden="0" customWidth="1"/>
    <x:col min="14" max="14" width="34" hidden="0" customWidth="1"/>
    <x:col min="21" max="21" width="20" hidden="0" customWidth="1"/>
    <x:col min="22" max="22" width="24" hidden="0" customWidth="1"/>
    <x:col min="23" max="23" width="24" hidden="0" customWidth="1"/>
    <x:col min="24" max="24" width="24" hidden="0" customWidth="1"/>
  </x:cols>
  <x:sheetData>
    <x:row r="1" ht="30" customHeight="1">
      <x:c r="A1" s="897" t="str">
        <x:v>Universal Core, Targeted Accelerator and Co-investment Scenarios</x:v>
      </x:c>
      <x:c r="B1" s="897"/>
      <x:c r="C1" s="897"/>
      <x:c r="D1" s="897"/>
      <x:c r="E1" s="897"/>
      <x:c r="F1" s="897"/>
      <x:c r="G1" s="897"/>
      <x:c r="H1" s="897"/>
      <x:c r="I1" s="897"/>
      <x:c r="J1" s="897"/>
      <x:c r="K1" s="897"/>
      <x:c r="L1" s="897"/>
      <x:c r="M1" s="897"/>
      <x:c r="N1" s="897"/>
      <x:c r="U1" s="1196"/>
      <x:c r="V1" s="1196"/>
      <x:c r="W1" s="1196"/>
      <x:c r="X1" s="1196"/>
    </x:row>
    <x:row r="2" ht="28" customHeight="1">
      <x:c r="A2" s="901" t="str">
        <x:v>Scenario costs separate universal baseline support from additional intensity. No uncommitted industry funding is included in central Crown results.</x:v>
      </x:c>
      <x:c r="B2" s="901"/>
      <x:c r="C2" s="901"/>
      <x:c r="D2" s="901"/>
      <x:c r="E2" s="901"/>
      <x:c r="F2" s="901"/>
      <x:c r="G2" s="901"/>
      <x:c r="H2" s="901"/>
      <x:c r="I2" s="901"/>
      <x:c r="J2" s="901"/>
      <x:c r="K2" s="901"/>
      <x:c r="L2" s="901"/>
      <x:c r="M2" s="901"/>
      <x:c r="N2" s="901"/>
      <x:c r="U2" s="1201"/>
      <x:c r="V2" s="1201"/>
      <x:c r="W2" s="1201"/>
      <x:c r="X2" s="1201"/>
    </x:row>
    <x:row r="3">
      <x:c r="U3" s="1201"/>
      <x:c r="V3" s="1201"/>
      <x:c r="W3" s="1201"/>
      <x:c r="X3" s="1201"/>
    </x:row>
    <x:row r="4" ht="23" customHeight="1">
      <x:c r="A4" s="905" t="str">
        <x:v>Central delivery cost architecture</x:v>
      </x:c>
      <x:c r="B4" s="905"/>
      <x:c r="C4" s="905"/>
      <x:c r="D4" s="905"/>
      <x:c r="E4" s="905"/>
      <x:c r="F4" s="905"/>
      <x:c r="G4" s="905"/>
      <x:c r="H4" s="905"/>
      <x:c r="I4" s="905"/>
      <x:c r="J4" s="905"/>
      <x:c r="K4" s="905"/>
      <x:c r="L4" s="905"/>
      <x:c r="M4" s="905"/>
      <x:c r="N4" s="905"/>
      <x:c r="U4" s="1201"/>
      <x:c r="V4" s="1201"/>
      <x:c r="W4" s="1201"/>
      <x:c r="X4" s="1201"/>
    </x:row>
    <x:row r="5" ht="30" customHeight="1">
      <x:c r="A5" s="909" t="str">
        <x:v>Cost driver</x:v>
      </x:c>
      <x:c r="B5" s="909" t="str">
        <x:v>Central value</x:v>
      </x:c>
      <x:c r="C5" s="909" t="str">
        <x:v>Unit</x:v>
      </x:c>
      <x:c r="D5" s="909" t="str">
        <x:v>Source / formula</x:v>
      </x:c>
      <x:c r="E5" s="909" t="str">
        <x:v>Evidence status</x:v>
      </x:c>
      <x:c r="F5" s="909" t="str">
        <x:v>Interpretation</x:v>
      </x:c>
      <x:c r="U5" s="1201"/>
      <x:c r="V5" s="1201"/>
      <x:c r="W5" s="1201"/>
      <x:c r="X5" s="1201"/>
    </x:row>
    <x:row r="6">
      <x:c r="A6" t="str">
        <x:v>Active national student stock</x:v>
      </x:c>
      <x:c r="B6" s="160" t="n">
        <x:f>Assumptions!$E$32</x:f>
        <x:v>311743</x:v>
      </x:c>
      <x:c r="C6" t="str">
        <x:v>students</x:v>
      </x:c>
      <x:c r="D6" t="str">
        <x:v>Assumptions!E32</x:v>
      </x:c>
      <x:c r="E6" t="str">
        <x:v>Planning proxy</x:v>
      </x:c>
      <x:c r="F6" t="str">
        <x:v>Five overlapping school-year cohorts.</x:v>
      </x:c>
      <x:c r="U6" s="1201"/>
      <x:c r="V6" s="1201"/>
      <x:c r="W6" s="1201"/>
      <x:c r="X6" s="1201"/>
    </x:row>
    <x:row r="7">
      <x:c r="A7" t="str">
        <x:v>Annual entrant / exit cohort</x:v>
      </x:c>
      <x:c r="B7" s="160" t="n">
        <x:f>Assumptions!$E$133</x:f>
        <x:v>62348.6</x:v>
      </x:c>
      <x:c r="C7" t="str">
        <x:v>people/year</x:v>
      </x:c>
      <x:c r="D7" t="str">
        <x:v>Assumptions!E133</x:v>
      </x:c>
      <x:c r="E7" t="str">
        <x:v>Calculated</x:v>
      </x:c>
      <x:c r="F7" t="str">
        <x:v>Cohort used for aligned long-run benefits.</x:v>
      </x:c>
      <x:c r="U7" s="1201"/>
      <x:c r="V7" s="1201"/>
      <x:c r="W7" s="1201"/>
      <x:c r="X7" s="1201"/>
    </x:row>
    <x:row r="8">
      <x:c r="A8" t="str">
        <x:v>Current annual participation payment per active student</x:v>
      </x:c>
      <x:c r="B8" s="160" t="n">
        <x:f>'Stage 2 - National'!$K$15/Assumptions!$E$32</x:f>
        <x:v>3900</x:v>
      </x:c>
      <x:c r="C8" t="str">
        <x:v>NZD/student/year</x:v>
      </x:c>
      <x:c r="D8" t="str">
        <x:v>Stage 2 mature participant payments ÷ active stock</x:v>
      </x:c>
      <x:c r="E8" t="str">
        <x:v>Calculated</x:v>
      </x:c>
      <x:c r="F8" t="str">
        <x:v>Immediate and Learning Capital portions combined.</x:v>
      </x:c>
      <x:c r="U8" s="1196"/>
      <x:c r="V8" s="1196"/>
      <x:c r="W8" s="1196"/>
      <x:c r="X8" s="1196"/>
    </x:row>
    <x:row r="9">
      <x:c r="A9" t="str">
        <x:v>Current mature non-payment cost per active student</x:v>
      </x:c>
      <x:c r="B9" s="160" t="n">
        <x:f>('Stage 2 - National'!$K$48-'Stage 2 - National'!$K$15)/Assumptions!$E$32</x:f>
        <x:v>995.4995912765755</x:v>
      </x:c>
      <x:c r="C9" t="str">
        <x:v>NZD/student/year</x:v>
      </x:c>
      <x:c r="D9" t="str">
        <x:v>Mature annual cost less participant payments ÷ active stock</x:v>
      </x:c>
      <x:c r="E9" t="str">
        <x:v>Calculated</x:v>
      </x:c>
      <x:c r="F9" t="str">
        <x:v>Staffing, schools, technology, evaluation and contingency.</x:v>
      </x:c>
      <x:c r="U9" s="1196"/>
      <x:c r="V9" s="1196"/>
      <x:c r="W9" s="1196"/>
      <x:c r="X9" s="1196"/>
    </x:row>
    <x:row r="10">
      <x:c r="A10" t="str">
        <x:v>Universal-core payment proportion</x:v>
      </x:c>
      <x:c r="B10" s="264" t="n">
        <x:f>Assumptions!$E$166</x:f>
        <x:v>0.5</x:v>
      </x:c>
      <x:c r="C10" t="str">
        <x:v>% of current</x:v>
      </x:c>
      <x:c r="D10" t="str">
        <x:v>Assumptions!E166</x:v>
      </x:c>
      <x:c r="E10" t="str">
        <x:v>Scenario assumption</x:v>
      </x:c>
      <x:c r="F10" t="str">
        <x:v>Lower-intensity verified support.</x:v>
      </x:c>
      <x:c r="U10" s="1196"/>
      <x:c r="V10" s="1196"/>
      <x:c r="W10" s="1196"/>
      <x:c r="X10" s="1196"/>
    </x:row>
    <x:row r="11">
      <x:c r="A11" t="str">
        <x:v>Universal-core non-payment cost proportion</x:v>
      </x:c>
      <x:c r="B11" s="264" t="n">
        <x:f>Assumptions!$E$167</x:f>
        <x:v>0.7</x:v>
      </x:c>
      <x:c r="C11" t="str">
        <x:v>% of current</x:v>
      </x:c>
      <x:c r="D11" t="str">
        <x:v>Assumptions!E167</x:v>
      </x:c>
      <x:c r="E11" t="str">
        <x:v>Scenario assumption</x:v>
      </x:c>
      <x:c r="F11" t="str">
        <x:v>Baseline pathway and mentoring system.</x:v>
      </x:c>
      <x:c r="U11" s="1196"/>
      <x:c r="V11" s="1196"/>
      <x:c r="W11" s="1196"/>
      <x:c r="X11" s="1196"/>
    </x:row>
    <x:row r="12">
      <x:c r="A12" t="str">
        <x:v>Targeted accelerator share</x:v>
      </x:c>
      <x:c r="B12" s="264" t="n">
        <x:f>Assumptions!$E$168</x:f>
        <x:v>0.2</x:v>
      </x:c>
      <x:c r="C12" t="str">
        <x:v>% of active students</x:v>
      </x:c>
      <x:c r="D12" t="str">
        <x:v>Assumptions!E168</x:v>
      </x:c>
      <x:c r="E12" t="str">
        <x:v>Scenario assumption</x:v>
      </x:c>
      <x:c r="F12" t="str">
        <x:v>Evidence-based targeting required.</x:v>
      </x:c>
      <x:c r="U12" s="1196"/>
      <x:c r="V12" s="1196"/>
      <x:c r="W12" s="1196"/>
      <x:c r="X12" s="1196"/>
    </x:row>
    <x:row r="13">
      <x:c r="A13" t="str">
        <x:v>Accelerator incremental annual cost</x:v>
      </x:c>
      <x:c r="B13" s="160" t="n">
        <x:f>Assumptions!$E$169</x:f>
        <x:v>4000</x:v>
      </x:c>
      <x:c r="C13" t="str">
        <x:v>NZD/targeted student</x:v>
      </x:c>
      <x:c r="D13" t="str">
        <x:v>Assumptions!E169</x:v>
      </x:c>
      <x:c r="E13" t="str">
        <x:v>Scenario assumption</x:v>
      </x:c>
      <x:c r="F13" t="str">
        <x:v>Additional tutoring, transport, tools and specialist support.</x:v>
      </x:c>
      <x:c r="U13" s="1196"/>
      <x:c r="V13" s="1196"/>
      <x:c r="W13" s="1196"/>
      <x:c r="X13" s="1196"/>
    </x:row>
    <x:row r="14">
      <x:c r="A14" t="str">
        <x:v>Committed pooled third-party funding</x:v>
      </x:c>
      <x:c r="B14" s="160" t="n">
        <x:f>SUM(Assumptions!$E$176,Assumptions!$E$177,Assumptions!$E$178,Assumptions!$E$179,Assumptions!$E$180)</x:f>
        <x:v>0</x:v>
      </x:c>
      <x:c r="C14" t="str">
        <x:v>NZD/year</x:v>
      </x:c>
      <x:c r="D14" t="str">
        <x:v>Sum of signed commitments</x:v>
      </x:c>
      <x:c r="E14" t="str">
        <x:v>No commitments</x:v>
      </x:c>
      <x:c r="F14" t="str">
        <x:v>Central value remains zero.</x:v>
      </x:c>
      <x:c r="U14" s="1196"/>
      <x:c r="V14" s="1196"/>
      <x:c r="W14" s="1196"/>
      <x:c r="X14" s="1196"/>
    </x:row>
    <x:row r="15">
      <x:c r="A15" t="str">
        <x:v>Potential funding sensitivity</x:v>
      </x:c>
      <x:c r="B15" s="910" t="n">
        <x:v>75000000</x:v>
      </x:c>
      <x:c r="C15" t="str">
        <x:v>NZD/year</x:v>
      </x:c>
      <x:c r="D15" t="str">
        <x:v>Illustrative only</x:v>
      </x:c>
      <x:c r="E15" t="str">
        <x:v>Not central</x:v>
      </x:c>
      <x:c r="F15" t="str">
        <x:v>Shown only to demonstrate what a signed pooled contribution could change.</x:v>
      </x:c>
      <x:c r="U15" s="1196"/>
      <x:c r="V15" s="1196"/>
      <x:c r="W15" s="1196"/>
      <x:c r="X15" s="1196"/>
    </x:row>
    <x:row r="16" ht="42" customHeight="1">
      <x:c r="A16" s="1080" t="str">
        <x:v>WARNING — The result depends materially on the unproven assumption that a lower-cost universal core combined with targeted acceleration retains a high proportion of the mature design’s high-risk effect.</x:v>
      </x:c>
      <x:c r="B16" s="1080"/>
      <x:c r="C16" s="1080"/>
      <x:c r="D16" s="1080"/>
      <x:c r="E16" s="1080"/>
      <x:c r="F16" s="1080"/>
      <x:c r="G16" s="1080"/>
      <x:c r="H16" s="1080"/>
      <x:c r="I16" s="1080"/>
      <x:c r="J16" s="1080"/>
      <x:c r="K16" s="1080"/>
      <x:c r="L16" s="1080"/>
      <x:c r="M16" s="1080"/>
      <x:c r="N16" s="1080"/>
      <x:c r="U16" s="1196"/>
      <x:c r="V16" s="1196"/>
      <x:c r="W16" s="1196"/>
      <x:c r="X16" s="1196"/>
    </x:row>
    <x:row r="17">
      <x:c r="U17" s="1196"/>
      <x:c r="V17" s="1196"/>
      <x:c r="W17" s="1196"/>
      <x:c r="X17" s="1196"/>
    </x:row>
    <x:row r="18" ht="23" customHeight="1">
      <x:c r="A18" s="905" t="str">
        <x:v>Scenario cost and intensity comparison</x:v>
      </x:c>
      <x:c r="B18" s="905"/>
      <x:c r="C18" s="905"/>
      <x:c r="D18" s="905"/>
      <x:c r="E18" s="905"/>
      <x:c r="F18" s="905"/>
      <x:c r="G18" s="905"/>
      <x:c r="H18" s="905"/>
      <x:c r="I18" s="905"/>
      <x:c r="J18" s="905"/>
      <x:c r="K18" s="905"/>
      <x:c r="L18" s="905"/>
      <x:c r="M18" s="905"/>
      <x:c r="N18" s="905"/>
      <x:c r="U18" s="1196"/>
      <x:c r="V18" s="1196"/>
      <x:c r="W18" s="1196"/>
      <x:c r="X18" s="1196"/>
    </x:row>
    <x:row r="19" ht="30" customHeight="1">
      <x:c r="A19" s="909" t="str">
        <x:v>Scenario</x:v>
      </x:c>
      <x:c r="B19" s="909" t="str">
        <x:v>Scope</x:v>
      </x:c>
      <x:c r="C19" s="909" t="str">
        <x:v>Exposed people / cohort</x:v>
      </x:c>
      <x:c r="D19" s="909" t="str">
        <x:v>Targeted people</x:v>
      </x:c>
      <x:c r="E19" s="909" t="str">
        <x:v>Payment intensity</x:v>
      </x:c>
      <x:c r="F19" s="909" t="str">
        <x:v>Non-payment intensity</x:v>
      </x:c>
      <x:c r="G19" s="909" t="str">
        <x:v>Period cost</x:v>
      </x:c>
      <x:c r="H19" s="909" t="str">
        <x:v>Cost basis</x:v>
      </x:c>
      <x:c r="I19" s="909" t="str">
        <x:v>NEET benefit factor</x:v>
      </x:c>
      <x:c r="J19" s="909" t="str">
        <x:v>Earnings affected share</x:v>
      </x:c>
      <x:c r="K19" s="909" t="str">
        <x:v>Committed funding</x:v>
      </x:c>
      <x:c r="L19" s="909" t="str">
        <x:v>Crown cash cost</x:v>
      </x:c>
      <x:c r="M19" s="909" t="str">
        <x:v>Evidence status</x:v>
      </x:c>
      <x:c r="N19" s="909" t="str">
        <x:v>Decision use</x:v>
      </x:c>
      <x:c r="U19" s="1196"/>
      <x:c r="V19" s="1196"/>
      <x:c r="W19" s="1196"/>
      <x:c r="X19" s="1196"/>
    </x:row>
    <x:row r="20">
      <x:c r="A20" s="26" t="str">
        <x:v>Universal core only</x:v>
      </x:c>
      <x:c r="B20" s="26" t="str">
        <x:v>Universal verified effort, immediate support, Learning Capital, baseline mentoring and pathway tools</x:v>
      </x:c>
      <x:c r="C20" s="275" t="n">
        <x:f>B7</x:f>
        <x:v>62348.6</x:v>
      </x:c>
      <x:c r="D20" s="275" t="n">
        <x:v>0</x:v>
      </x:c>
      <x:c r="E20" s="276" t="n">
        <x:f>B10</x:f>
        <x:v>0.5</x:v>
      </x:c>
      <x:c r="F20" s="276" t="n">
        <x:f>B11</x:f>
        <x:v>0.7</x:v>
      </x:c>
      <x:c r="G20" s="308" t="n">
        <x:f>B6*(B8*B10+B9*B11)</x:f>
        <x:v>825136870.3583333</x:v>
      </x:c>
      <x:c r="H20" s="278" t="str">
        <x:v>Annual national</x:v>
      </x:c>
      <x:c r="I20" s="276" t="n">
        <x:f>Assumptions!$E$170</x:f>
        <x:v>0.5</x:v>
      </x:c>
      <x:c r="J20" s="276" t="n">
        <x:f>Assumptions!$E$172</x:f>
        <x:v>0.45</x:v>
      </x:c>
      <x:c r="K20" s="308" t="n">
        <x:f>$B$14</x:f>
        <x:v>0</x:v>
      </x:c>
      <x:c r="L20" s="308" t="n">
        <x:f>G20-K20</x:f>
        <x:v>825136870.3583333</x:v>
      </x:c>
      <x:c r="M20" s="26" t="str">
        <x:v>Scenario only</x:v>
      </x:c>
      <x:c r="N20" s="26" t="str">
        <x:v>Targeted-delivery break-even</x:v>
      </x:c>
      <x:c r="U20" s="1196"/>
      <x:c r="V20" s="1196"/>
      <x:c r="W20" s="1196"/>
      <x:c r="X20" s="1196"/>
    </x:row>
    <x:row r="21">
      <x:c r="A21" s="911" t="str">
        <x:v>Universal core plus targeted accelerator</x:v>
      </x:c>
      <x:c r="B21" s="911" t="str">
        <x:v>Universal core plus additional tutoring, transport, devices, licences, tools and intensive support</x:v>
      </x:c>
      <x:c r="C21" s="912" t="n">
        <x:f>B7</x:f>
        <x:v>62348.6</x:v>
      </x:c>
      <x:c r="D21" s="912" t="n">
        <x:f>C21*B12</x:f>
        <x:v>12469.720000000001</x:v>
      </x:c>
      <x:c r="E21" s="913" t="n">
        <x:f>B10</x:f>
        <x:v>0.5</x:v>
      </x:c>
      <x:c r="F21" s="913" t="n">
        <x:f>B11</x:f>
        <x:v>0.7</x:v>
      </x:c>
      <x:c r="G21" s="914" t="n">
        <x:f>G20+D21*B13</x:f>
        <x:v>875015750.3583333</x:v>
      </x:c>
      <x:c r="H21" s="915" t="str">
        <x:v>Annual national</x:v>
      </x:c>
      <x:c r="I21" s="913" t="n">
        <x:f>Assumptions!$E$171</x:f>
        <x:v>1</x:v>
      </x:c>
      <x:c r="J21" s="913" t="n">
        <x:f>Assumptions!$E$173</x:f>
        <x:v>0.55</x:v>
      </x:c>
      <x:c r="K21" s="914" t="n">
        <x:f>$B$14</x:f>
        <x:v>0</x:v>
      </x:c>
      <x:c r="L21" s="914" t="n">
        <x:f>G21-K21</x:f>
        <x:v>875015750.3583333</x:v>
      </x:c>
      <x:c r="M21" s="911" t="str">
        <x:v>Scenario only — retained high-risk effect unproven</x:v>
      </x:c>
      <x:c r="N21" s="911" t="str">
        <x:v>Leading testable structural scenario</x:v>
      </x:c>
      <x:c r="U21" s="1196"/>
      <x:c r="V21" s="1196"/>
      <x:c r="W21" s="1196"/>
      <x:c r="X21" s="1196"/>
    </x:row>
    <x:row r="22">
      <x:c r="A22" s="26" t="str">
        <x:v>Targeted pilot</x:v>
      </x:c>
      <x:c r="B22" s="26" t="str">
        <x:v>Bounded independently evaluated treatment cohort</x:v>
      </x:c>
      <x:c r="C22" s="275" t="n">
        <x:v>4200</x:v>
      </x:c>
      <x:c r="D22" s="275" t="n">
        <x:v>4200</x:v>
      </x:c>
      <x:c r="E22" s="276" t="n">
        <x:v>1</x:v>
      </x:c>
      <x:c r="F22" s="276" t="n">
        <x:v>1</x:v>
      </x:c>
      <x:c r="G22" s="308" t="n">
        <x:f>'Stage 1 - Pilot'!$L$56</x:f>
        <x:v>97579970.263125</x:v>
      </x:c>
      <x:c r="H22" s="278" t="str">
        <x:v>Three-year pilot</x:v>
      </x:c>
      <x:c r="I22" s="276" t="n">
        <x:v>1</x:v>
      </x:c>
      <x:c r="J22" s="276" t="n">
        <x:f>Assumptions!$E$174</x:f>
        <x:v>0.6</x:v>
      </x:c>
      <x:c r="K22" s="308" t="n">
        <x:f>0</x:f>
        <x:v>0</x:v>
      </x:c>
      <x:c r="L22" s="308" t="n">
        <x:f>G22-K22</x:f>
        <x:v>97579970.263125</x:v>
      </x:c>
      <x:c r="M22" s="26" t="str">
        <x:v>Existing pilot cost</x:v>
      </x:c>
      <x:c r="N22" s="26" t="str">
        <x:v>Causal evidence generation</x:v>
      </x:c>
      <x:c r="U22" s="1196"/>
      <x:c r="V22" s="1196"/>
      <x:c r="W22" s="1196"/>
      <x:c r="X22" s="1196"/>
    </x:row>
    <x:row r="23">
      <x:c r="A23" s="26" t="str">
        <x:v>Mature national design</x:v>
      </x:c>
      <x:c r="B23" s="26" t="str">
        <x:v>Current full national cost architecture</x:v>
      </x:c>
      <x:c r="C23" s="275" t="n">
        <x:f>B7</x:f>
        <x:v>62348.6</x:v>
      </x:c>
      <x:c r="D23" s="275" t="n">
        <x:f>C23*B12</x:f>
        <x:v>12469.720000000001</x:v>
      </x:c>
      <x:c r="E23" s="276" t="n">
        <x:v>1</x:v>
      </x:c>
      <x:c r="F23" s="276" t="n">
        <x:v>1</x:v>
      </x:c>
      <x:c r="G23" s="308" t="n">
        <x:f>'Stage 2 - National'!$K$48</x:f>
        <x:v>1526137729.0833335</x:v>
      </x:c>
      <x:c r="H23" s="278" t="str">
        <x:v>Mature annual</x:v>
      </x:c>
      <x:c r="I23" s="276" t="n">
        <x:v>1</x:v>
      </x:c>
      <x:c r="J23" s="276" t="n">
        <x:f>Assumptions!$E$175</x:f>
        <x:v>0.5</x:v>
      </x:c>
      <x:c r="K23" s="308" t="n">
        <x:f>$B$14</x:f>
        <x:v>0</x:v>
      </x:c>
      <x:c r="L23" s="308" t="n">
        <x:f>G23-K23</x:f>
        <x:v>1526137729.0833335</x:v>
      </x:c>
      <x:c r="M23" s="26" t="str">
        <x:v>Planning model</x:v>
      </x:c>
      <x:c r="N23" s="26" t="str">
        <x:v>Conditional scale comparator</x:v>
      </x:c>
      <x:c r="U23" s="1196"/>
      <x:c r="V23" s="1196"/>
      <x:c r="W23" s="1196"/>
      <x:c r="X23" s="1196"/>
    </x:row>
    <x:row r="24">
      <x:c r="U24" s="1196"/>
      <x:c r="V24" s="1196"/>
      <x:c r="W24" s="1196"/>
      <x:c r="X24" s="1196"/>
    </x:row>
    <x:row r="25">
      <x:c r="U25" s="1196"/>
      <x:c r="V25" s="1196"/>
      <x:c r="W25" s="1196"/>
      <x:c r="X25" s="1196"/>
    </x:row>
    <x:row r="26" ht="23" customHeight="1">
      <x:c r="A26" s="905" t="str">
        <x:v>Pooled co-investment — central model includes committed amounts only</x:v>
      </x:c>
      <x:c r="B26" s="905"/>
      <x:c r="C26" s="905"/>
      <x:c r="D26" s="905"/>
      <x:c r="E26" s="905"/>
      <x:c r="F26" s="905"/>
      <x:c r="G26" s="905"/>
      <x:c r="H26" s="905"/>
      <x:c r="I26" s="905"/>
      <x:c r="J26" s="905"/>
      <x:c r="K26" s="905"/>
      <x:c r="L26" s="905"/>
      <x:c r="M26" s="905"/>
      <x:c r="N26" s="905"/>
      <x:c r="U26" s="1196"/>
      <x:c r="V26" s="1196"/>
      <x:c r="W26" s="1196"/>
      <x:c r="X26" s="1196"/>
    </x:row>
    <x:row r="27" ht="30" customHeight="1">
      <x:c r="A27" s="909" t="str">
        <x:v>Contributor</x:v>
      </x:c>
      <x:c r="B27" s="909" t="str">
        <x:v>Committed amount</x:v>
      </x:c>
      <x:c r="C27" s="909" t="str">
        <x:v>Potential sensitivity</x:v>
      </x:c>
      <x:c r="D27" s="909" t="str">
        <x:v>Central inclusion</x:v>
      </x:c>
      <x:c r="E27" s="909" t="str">
        <x:v>Control principle</x:v>
      </x:c>
      <x:c r="F27" s="909" t="str">
        <x:v>Required evidence</x:v>
      </x:c>
      <x:c r="G27" s="909" t="str">
        <x:v>Source ID</x:v>
      </x:c>
      <x:c r="H27" s="909" t="str">
        <x:v>Status</x:v>
      </x:c>
      <x:c r="U27" s="1196"/>
      <x:c r="V27" s="1196"/>
      <x:c r="W27" s="1196"/>
      <x:c r="X27" s="1196"/>
    </x:row>
    <x:row r="28">
      <x:c r="A28" s="26" t="str">
        <x:v>Employers</x:v>
      </x:c>
      <x:c r="B28" s="916" t="n">
        <x:v>0</x:v>
      </x:c>
      <x:c r="C28" s="198" t="n">
        <x:v>25000000</x:v>
      </x:c>
      <x:c r="D28" s="26" t="str">
        <x:v>Committed only</x:v>
      </x:c>
      <x:c r="E28" s="26" t="str">
        <x:v>Pooled fund; no exclusive recruitment or service bond</x:v>
      </x:c>
      <x:c r="F28" s="26" t="str">
        <x:v>Signed contribution and governance agreement</x:v>
      </x:c>
      <x:c r="G28" s="26" t="str">
        <x:v>A21</x:v>
      </x:c>
      <x:c r="H28" s="26" t="str">
        <x:v>UNCOMMITTED</x:v>
      </x:c>
      <x:c r="U28" s="1196"/>
      <x:c r="V28" s="1196"/>
      <x:c r="W28" s="1196"/>
      <x:c r="X28" s="1196"/>
    </x:row>
    <x:row r="29">
      <x:c r="A29" s="26" t="str">
        <x:v>Sector organisations</x:v>
      </x:c>
      <x:c r="B29" s="916" t="n">
        <x:v>0</x:v>
      </x:c>
      <x:c r="C29" s="198" t="n">
        <x:v>15000000</x:v>
      </x:c>
      <x:c r="D29" s="26" t="str">
        <x:v>Committed only</x:v>
      </x:c>
      <x:c r="E29" s="26" t="str">
        <x:v>Independent labour-market forecasting; no occupation quota</x:v>
      </x:c>
      <x:c r="F29" s="26" t="str">
        <x:v>Signed contribution and published supply methodology</x:v>
      </x:c>
      <x:c r="G29" s="26" t="str">
        <x:v>A21</x:v>
      </x:c>
      <x:c r="H29" s="26" t="str">
        <x:v>UNCOMMITTED</x:v>
      </x:c>
      <x:c r="U29" s="1196"/>
      <x:c r="V29" s="1196"/>
      <x:c r="W29" s="1196"/>
      <x:c r="X29" s="1196"/>
    </x:row>
    <x:row r="30">
      <x:c r="A30" s="26" t="str">
        <x:v>Iwi entities</x:v>
      </x:c>
      <x:c r="B30" s="916" t="n">
        <x:v>0</x:v>
      </x:c>
      <x:c r="C30" s="198" t="n">
        <x:v>15000000</x:v>
      </x:c>
      <x:c r="D30" s="26" t="str">
        <x:v>Committed only</x:v>
      </x:c>
      <x:c r="E30" s="26" t="str">
        <x:v>Independent governance and student choice</x:v>
      </x:c>
      <x:c r="F30" s="26" t="str">
        <x:v>Signed contribution and rights agreement</x:v>
      </x:c>
      <x:c r="G30" s="26" t="str">
        <x:v>A21</x:v>
      </x:c>
      <x:c r="H30" s="26" t="str">
        <x:v>UNCOMMITTED</x:v>
      </x:c>
      <x:c r="U30" s="1196"/>
      <x:c r="V30" s="1196"/>
      <x:c r="W30" s="1196"/>
      <x:c r="X30" s="1196"/>
    </x:row>
    <x:row r="31">
      <x:c r="A31" s="26" t="str">
        <x:v>Philanthropic organisations</x:v>
      </x:c>
      <x:c r="B31" s="916" t="n">
        <x:v>0</x:v>
      </x:c>
      <x:c r="C31" s="198" t="n">
        <x:v>10000000</x:v>
      </x:c>
      <x:c r="D31" s="26" t="str">
        <x:v>Committed only</x:v>
      </x:c>
      <x:c r="E31" s="26" t="str">
        <x:v>No curriculum or participant control</x:v>
      </x:c>
      <x:c r="F31" s="26" t="str">
        <x:v>Signed contribution and conflict policy</x:v>
      </x:c>
      <x:c r="G31" s="26" t="str">
        <x:v>A21</x:v>
      </x:c>
      <x:c r="H31" s="26" t="str">
        <x:v>UNCOMMITTED</x:v>
      </x:c>
      <x:c r="U31" s="1196"/>
      <x:c r="V31" s="1196"/>
      <x:c r="W31" s="1196"/>
      <x:c r="X31" s="1196"/>
    </x:row>
    <x:row r="32">
      <x:c r="A32" s="26" t="str">
        <x:v>Tertiary / training providers</x:v>
      </x:c>
      <x:c r="B32" s="916" t="n">
        <x:v>0</x:v>
      </x:c>
      <x:c r="C32" s="198" t="n">
        <x:v>10000000</x:v>
      </x:c>
      <x:c r="D32" s="26" t="str">
        <x:v>Committed only</x:v>
      </x:c>
      <x:c r="E32" s="26" t="str">
        <x:v>Transferable credentials; no provider lock-in</x:v>
      </x:c>
      <x:c r="F32" s="26" t="str">
        <x:v>Signed contribution and procurement safeguards</x:v>
      </x:c>
      <x:c r="G32" s="26" t="str">
        <x:v>A21</x:v>
      </x:c>
      <x:c r="H32" s="26" t="str">
        <x:v>UNCOMMITTED</x:v>
      </x:c>
      <x:c r="U32" s="1196"/>
      <x:c r="V32" s="1196"/>
      <x:c r="W32" s="1196"/>
      <x:c r="X32" s="1196"/>
    </x:row>
    <x:row r="33">
      <x:c r="U33" s="1196"/>
      <x:c r="V33" s="1196"/>
      <x:c r="W33" s="1196"/>
      <x:c r="X33" s="1196"/>
    </x:row>
    <x:row r="34">
      <x:c r="U34" s="1196"/>
      <x:c r="V34" s="1196"/>
      <x:c r="W34" s="1196"/>
      <x:c r="X34" s="1196"/>
    </x:row>
    <x:row r="35" ht="23" customHeight="1">
      <x:c r="A35" s="905" t="str">
        <x:v>Industry capture and labour-market safeguards</x:v>
      </x:c>
      <x:c r="B35" s="905"/>
      <x:c r="C35" s="905"/>
      <x:c r="D35" s="905"/>
      <x:c r="E35" s="905"/>
      <x:c r="F35" s="905"/>
      <x:c r="G35" s="905"/>
      <x:c r="H35" s="905"/>
      <x:c r="I35" s="905"/>
      <x:c r="J35" s="905"/>
      <x:c r="K35" s="905"/>
      <x:c r="L35" s="905"/>
      <x:c r="M35" s="905"/>
      <x:c r="N35" s="905"/>
      <x:c r="U35" s="1196"/>
      <x:c r="V35" s="1196"/>
      <x:c r="W35" s="1196"/>
      <x:c r="X35" s="1196"/>
    </x:row>
    <x:row r="36" ht="28" customHeight="1">
      <x:c r="A36" s="921" t="str">
        <x:v>Principle</x:v>
      </x:c>
      <x:c r="B36" s="921" t="str">
        <x:v>Industry may inform and co-invest, but it does not direct individual career choices or control national training supply.</x:v>
      </x:c>
      <x:c r="C36" s="484" t="str">
        <x:v>Industry may inform and co-invest, but it does not direct individual career choices or control national training supply.</x:v>
      </x:c>
      <x:c r="D36" s="484"/>
      <x:c r="E36" s="484"/>
      <x:c r="F36" s="484"/>
      <x:c r="G36" s="484"/>
      <x:c r="H36" s="484"/>
      <x:c r="I36" s="484"/>
      <x:c r="J36" s="484"/>
      <x:c r="K36" s="484"/>
      <x:c r="L36" s="484"/>
      <x:c r="M36" s="484"/>
      <x:c r="N36" s="484"/>
      <x:c r="U36" s="1196"/>
      <x:c r="V36" s="1196"/>
      <x:c r="W36" s="1196"/>
      <x:c r="X36" s="1196"/>
    </x:row>
    <x:row r="37" ht="28" customHeight="1">
      <x:c r="A37" s="921" t="str">
        <x:v>Funding structure</x:v>
      </x:c>
      <x:c r="B37" s="921" t="str">
        <x:v>Pooled rather than employer-controlled funding; independent allocation and published conflicts.</x:v>
      </x:c>
      <x:c r="C37" s="484" t="str">
        <x:v>Pooled rather than employer-controlled funding; independent allocation and published conflicts.</x:v>
      </x:c>
      <x:c r="D37" s="484"/>
      <x:c r="E37" s="484"/>
      <x:c r="F37" s="484"/>
      <x:c r="G37" s="484"/>
      <x:c r="H37" s="484"/>
      <x:c r="I37" s="484"/>
      <x:c r="J37" s="484"/>
      <x:c r="K37" s="484"/>
      <x:c r="L37" s="484"/>
      <x:c r="M37" s="484"/>
      <x:c r="N37" s="484"/>
      <x:c r="U37" s="1196"/>
      <x:c r="V37" s="1196"/>
      <x:c r="W37" s="1196"/>
      <x:c r="X37" s="1196"/>
    </x:row>
    <x:row r="38" ht="28" customHeight="1">
      <x:c r="A38" s="921" t="str">
        <x:v>Student choice</x:v>
      </x:c>
      <x:c r="B38" s="921" t="str">
        <x:v>No exclusive recruitment access, compulsory service, occupation quota or curriculum control.</x:v>
      </x:c>
      <x:c r="C38" s="484" t="str">
        <x:v>No exclusive recruitment access, compulsory service, occupation quota or curriculum control.</x:v>
      </x:c>
      <x:c r="D38" s="484"/>
      <x:c r="E38" s="484"/>
      <x:c r="F38" s="484"/>
      <x:c r="G38" s="484"/>
      <x:c r="H38" s="484"/>
      <x:c r="I38" s="484"/>
      <x:c r="J38" s="484"/>
      <x:c r="K38" s="484"/>
      <x:c r="L38" s="484"/>
      <x:c r="M38" s="484"/>
      <x:c r="N38" s="484"/>
      <x:c r="U38" s="1196"/>
      <x:c r="V38" s="1196"/>
      <x:c r="W38" s="1196"/>
      <x:c r="X38" s="1196"/>
    </x:row>
    <x:row r="39" ht="28" customHeight="1">
      <x:c r="A39" s="921" t="str">
        <x:v>Credentials</x:v>
      </x:c>
      <x:c r="B39" s="921" t="str">
        <x:v>Credentials must be transferable between employers, sectors and regions.</x:v>
      </x:c>
      <x:c r="C39" s="484" t="str">
        <x:v>Credentials must be transferable between employers, sectors and regions.</x:v>
      </x:c>
      <x:c r="D39" s="484"/>
      <x:c r="E39" s="484"/>
      <x:c r="F39" s="484"/>
      <x:c r="G39" s="484"/>
      <x:c r="H39" s="484"/>
      <x:c r="I39" s="484"/>
      <x:c r="J39" s="484"/>
      <x:c r="K39" s="484"/>
      <x:c r="L39" s="484"/>
      <x:c r="M39" s="484"/>
      <x:c r="N39" s="484"/>
      <x:c r="U39" s="1196"/>
      <x:c r="V39" s="1196"/>
      <x:c r="W39" s="1196"/>
      <x:c r="X39" s="1196"/>
    </x:row>
    <x:row r="40" ht="28" customHeight="1">
      <x:c r="A40" s="921" t="str">
        <x:v>Labour-market evidence</x:v>
      </x:c>
      <x:c r="B40" s="921" t="str">
        <x:v>Publish wages, vacancies, completion, retention, migration and job-quality outcomes by pathway.</x:v>
      </x:c>
      <x:c r="C40" s="484" t="str">
        <x:v>Publish wages, vacancies, completion, retention, migration and job-quality outcomes by pathway.</x:v>
      </x:c>
      <x:c r="D40" s="484"/>
      <x:c r="E40" s="484"/>
      <x:c r="F40" s="484"/>
      <x:c r="G40" s="484"/>
      <x:c r="H40" s="484"/>
      <x:c r="I40" s="484"/>
      <x:c r="J40" s="484"/>
      <x:c r="K40" s="484"/>
      <x:c r="L40" s="484"/>
      <x:c r="M40" s="484"/>
      <x:c r="N40" s="484"/>
      <x:c r="U40" s="1196"/>
      <x:c r="V40" s="1196"/>
      <x:c r="W40" s="1196"/>
      <x:c r="X40" s="1196"/>
    </x:row>
    <x:row r="41" ht="28" customHeight="1">
      <x:c r="A41" s="921" t="str">
        <x:v>Worker voice</x:v>
      </x:c>
      <x:c r="B41" s="921" t="str">
        <x:v>Include worker or union representation in labour-market and training-supply governance.</x:v>
      </x:c>
      <x:c r="C41" s="484" t="str">
        <x:v>Include worker or union representation in labour-market and training-supply governance.</x:v>
      </x:c>
      <x:c r="D41" s="484"/>
      <x:c r="E41" s="484"/>
      <x:c r="F41" s="484"/>
      <x:c r="G41" s="484"/>
      <x:c r="H41" s="484"/>
      <x:c r="I41" s="484"/>
      <x:c r="J41" s="484"/>
      <x:c r="K41" s="484"/>
      <x:c r="L41" s="484"/>
      <x:c r="M41" s="484"/>
      <x:c r="N41" s="484"/>
      <x:c r="U41" s="1196"/>
      <x:c r="V41" s="1196"/>
      <x:c r="W41" s="1196"/>
      <x:c r="X41" s="1196"/>
    </x:row>
    <x:row r="42" ht="28" customHeight="1">
      <x:c r="A42" s="921" t="str">
        <x:v>Supply review</x:v>
      </x:c>
      <x:c r="B42" s="921" t="str">
        <x:v>Periodically review occupation supply, wage effects, provider capacity and automation exposure.</x:v>
      </x:c>
      <x:c r="C42" s="484" t="str">
        <x:v>Periodically review occupation supply, wage effects, provider capacity and automation exposure.</x:v>
      </x:c>
      <x:c r="D42" s="484"/>
      <x:c r="E42" s="484"/>
      <x:c r="F42" s="484"/>
      <x:c r="G42" s="484"/>
      <x:c r="H42" s="484"/>
      <x:c r="I42" s="484"/>
      <x:c r="J42" s="484"/>
      <x:c r="K42" s="484"/>
      <x:c r="L42" s="484"/>
      <x:c r="M42" s="484"/>
      <x:c r="N42" s="484"/>
      <x:c r="U42" s="1196"/>
      <x:c r="V42" s="1196"/>
      <x:c r="W42" s="1196"/>
      <x:c r="X42" s="1196"/>
    </x:row>
    <x:row r="43" ht="28" customHeight="1">
      <x:c r="A43" s="921" t="str">
        <x:v>Oversupply protection</x:v>
      </x:c>
      <x:c r="B43" s="921" t="str">
        <x:v>Suspend or redirect incentives where training supply materially exceeds credible demand.</x:v>
      </x:c>
      <x:c r="C43" s="484" t="str">
        <x:v>Suspend or redirect incentives where training supply materially exceeds credible demand.</x:v>
      </x:c>
      <x:c r="D43" s="484"/>
      <x:c r="E43" s="484"/>
      <x:c r="F43" s="484"/>
      <x:c r="G43" s="484"/>
      <x:c r="H43" s="484"/>
      <x:c r="I43" s="484"/>
      <x:c r="J43" s="484"/>
      <x:c r="K43" s="484"/>
      <x:c r="L43" s="484"/>
      <x:c r="M43" s="484"/>
      <x:c r="N43" s="484"/>
      <x:c r="U43" s="1196"/>
      <x:c r="V43" s="1196"/>
      <x:c r="W43" s="1196"/>
      <x:c r="X43" s="1196"/>
    </x:row>
    <x:row r="44" ht="28" customHeight="1">
      <x:c r="A44" s="921" t="str">
        <x:v>Employer bonds</x:v>
      </x:c>
      <x:c r="B44" s="921" t="str">
        <x:v>No employer-specific bond unless separately, voluntarily and lawfully agreed with independent advice.</x:v>
      </x:c>
      <x:c r="C44" s="484" t="str">
        <x:v>No employer-specific bond unless separately, voluntarily and lawfully agreed with independent advice.</x:v>
      </x:c>
      <x:c r="D44" s="484"/>
      <x:c r="E44" s="484"/>
      <x:c r="F44" s="484"/>
      <x:c r="G44" s="484"/>
      <x:c r="H44" s="484"/>
      <x:c r="I44" s="484"/>
      <x:c r="J44" s="484"/>
      <x:c r="K44" s="484"/>
      <x:c r="L44" s="484"/>
      <x:c r="M44" s="484"/>
      <x:c r="N44" s="484"/>
      <x:c r="U44" s="1196"/>
      <x:c r="V44" s="1196"/>
      <x:c r="W44" s="1196"/>
      <x:c r="X44" s="1196"/>
    </x:row>
    <x:row r="45">
      <x:c r="U45" s="1196"/>
      <x:c r="V45" s="1196"/>
      <x:c r="W45" s="1196"/>
      <x:c r="X45" s="1196"/>
    </x:row>
    <x:row r="46">
      <x:c r="A46" s="1085" t="str">
        <x:v>Core plus targeted accelerator — retained high-risk-effect sensitivity</x:v>
      </x:c>
      <x:c r="B46" s="1085"/>
      <x:c r="C46" s="1085"/>
      <x:c r="D46" s="1085"/>
      <x:c r="E46" s="1085"/>
      <x:c r="F46" s="1085"/>
      <x:c r="G46" s="1085"/>
      <x:c r="U46" s="1196"/>
      <x:c r="V46" s="1196"/>
      <x:c r="W46" s="1196"/>
      <x:c r="X46" s="1196"/>
    </x:row>
    <x:row r="47">
      <x:c r="A47" s="1065" t="str">
        <x:v>Retained high-risk effect</x:v>
      </x:c>
      <x:c r="B47" s="1065" t="str">
        <x:v>Retained lifetime high-risk social benefit</x:v>
      </x:c>
      <x:c r="C47" s="1065" t="str">
        <x:v>Base social benefit incl. Learning Capital offset</x:v>
      </x:c>
      <x:c r="D47" s="1065" t="str">
        <x:v>2% earnings PV per 1% affected-population uplift</x:v>
      </x:c>
      <x:c r="E47" s="1065" t="str">
        <x:v>Full-expenditure social break-even uplift — 2%</x:v>
      </x:c>
      <x:c r="F47" s="1065" t="str">
        <x:v>Full-expenditure BCR at 5% uplift — 2%</x:v>
      </x:c>
      <x:c r="G47" s="1065" t="str">
        <x:v>Interpretation</x:v>
      </x:c>
      <x:c r="U47" s="1196"/>
      <x:c r="V47" s="1196"/>
      <x:c r="W47" s="1196"/>
      <x:c r="X47" s="1196"/>
    </x:row>
    <x:row r="48">
      <x:c r="A48" s="1086" t="n">
        <x:v>0.25</x:v>
      </x:c>
      <x:c r="B48" s="1087" t="n">
        <x:f>'Benefits &amp; BCR'!$C$24*A48</x:f>
        <x:v>95200092.80454522</x:v>
      </x:c>
      <x:c r="C48" s="1087" t="n">
        <x:f>B48+'Cohort Bridge'!$D$30*0.75</x:f>
        <x:v>99570865.66899408</x:v>
      </x:c>
      <x:c r="D48" s="1087" t="n">
        <x:f>(($C$21-'Benefits &amp; BCR'!$C$18*A48)*$J$21*Assumptions!$E$141*Assumptions!$E$142*Assumptions!$E$143*(1-Assumptions!$E$144)*(1-Assumptions!$E$145)*(1-Assumptions!$E$146)*Assumptions!$E$137)*'Human Capital &amp; Earnings'!$K$90</x:f>
        <x:v>219362607.33905172</x:v>
      </x:c>
      <x:c r="E48" s="1088" t="n">
        <x:f>MAX(0,($G$21-C48)/D48)*1%</x:f>
        <x:v>0.03534991191506009</x:v>
      </x:c>
      <x:c r="F48" s="1051" t="n">
        <x:f>(C48+D48*5)/$G$21</x:f>
        <x:v>1.3672712769733733</x:v>
      </x:c>
      <x:c r="G48" s="26" t="str">
        <x:v>Low retained-effect sensitivity</x:v>
      </x:c>
      <x:c r="U48" s="1196"/>
      <x:c r="V48" s="1196"/>
      <x:c r="W48" s="1196"/>
      <x:c r="X48" s="1196"/>
    </x:row>
    <x:row r="49">
      <x:c r="A49" s="1086" t="n">
        <x:v>0.5</x:v>
      </x:c>
      <x:c r="B49" s="1087" t="n">
        <x:f>'Benefits &amp; BCR'!$C$24*A49</x:f>
        <x:v>190400185.60909045</x:v>
      </x:c>
      <x:c r="C49" s="1087" t="n">
        <x:f>B49+'Cohort Bridge'!$D$30*0.75</x:f>
        <x:v>194770958.4735393</x:v>
      </x:c>
      <x:c r="D49" s="1087" t="n">
        <x:f>(($C$21-'Benefits &amp; BCR'!$C$18*A49)*$J$21*Assumptions!$E$141*Assumptions!$E$142*Assumptions!$E$143*(1-Assumptions!$E$144)*(1-Assumptions!$E$145)*(1-Assumptions!$E$146)*Assumptions!$E$137)*'Human Capital &amp; Earnings'!$K$90</x:f>
        <x:v>218121712.64008784</x:v>
      </x:c>
      <x:c r="E49" s="1088" t="n">
        <x:f>MAX(0,($G$21-C49)/D49)*1%</x:f>
        <x:v>0.031186477662003016</x:v>
      </x:c>
      <x:c r="F49" s="1051" t="n">
        <x:f>(C49+D49*5)/$G$21</x:f>
        <x:v>1.468978725408765</x:v>
      </x:c>
      <x:c r="G49" s="26" t="str">
        <x:v>Materially reduced retained effect</x:v>
      </x:c>
      <x:c r="U49" s="1196"/>
      <x:c r="V49" s="1196"/>
      <x:c r="W49" s="1196"/>
      <x:c r="X49" s="1196"/>
    </x:row>
    <x:row r="50">
      <x:c r="A50" s="1086" t="n">
        <x:v>0.75</x:v>
      </x:c>
      <x:c r="B50" s="1087" t="n">
        <x:f>'Benefits &amp; BCR'!$C$24*A50</x:f>
        <x:v>285600278.4136357</x:v>
      </x:c>
      <x:c r="C50" s="1087" t="n">
        <x:f>B50+'Cohort Bridge'!$D$30*0.75</x:f>
        <x:v>289971051.2780845</x:v>
      </x:c>
      <x:c r="D50" s="1087" t="n">
        <x:f>(($C$21-'Benefits &amp; BCR'!$C$18*A50)*$J$21*Assumptions!$E$141*Assumptions!$E$142*Assumptions!$E$143*(1-Assumptions!$E$144)*(1-Assumptions!$E$145)*(1-Assumptions!$E$146)*Assumptions!$E$137)*'Human Capital &amp; Earnings'!$K$90</x:f>
        <x:v>216880817.941124</x:v>
      </x:c>
      <x:c r="E50" s="1088" t="n">
        <x:f>MAX(0,($G$21-C50)/D50)*1%</x:f>
        <x:v>0.026975400804651578</x:v>
      </x:c>
      <x:c r="F50" s="1051" t="n">
        <x:f>(C50+D50*5)/$G$21</x:f>
        <x:v>1.5706861738441569</x:v>
      </x:c>
      <x:c r="G50" s="26" t="str">
        <x:v>High but still unproven retention</x:v>
      </x:c>
      <x:c r="U50" s="1196"/>
      <x:c r="V50" s="1196"/>
      <x:c r="W50" s="1196"/>
      <x:c r="X50" s="1196"/>
    </x:row>
    <x:row r="51">
      <x:c r="A51" s="1086" t="n">
        <x:v>1</x:v>
      </x:c>
      <x:c r="B51" s="1087" t="n">
        <x:f>'Benefits &amp; BCR'!$C$24*A51</x:f>
        <x:v>380800371.2181809</x:v>
      </x:c>
      <x:c r="C51" s="1087" t="n">
        <x:f>B51+'Cohort Bridge'!$D$30*0.75</x:f>
        <x:v>385171144.08262974</x:v>
      </x:c>
      <x:c r="D51" s="1087" t="n">
        <x:f>(($C$21-'Benefits &amp; BCR'!$C$18*A51)*$J$21*Assumptions!$E$141*Assumptions!$E$142*Assumptions!$E$143*(1-Assumptions!$E$144)*(1-Assumptions!$E$145)*(1-Assumptions!$E$146)*Assumptions!$E$137)*'Human Capital &amp; Earnings'!$K$90</x:f>
        <x:v>215639923.2421602</x:v>
      </x:c>
      <x:c r="E51" s="1088" t="n">
        <x:f>MAX(0,($G$21-C51)/D51)*1%</x:f>
        <x:v>0.022715858868379204</x:v>
      </x:c>
      <x:c r="F51" s="1051" t="n">
        <x:f>(C51+D51*5)/$G$21</x:f>
        <x:v>1.6723936222795492</x:v>
      </x:c>
      <x:c r="G51" s="26" t="str">
        <x:v>Current central structural assumption</x:v>
      </x:c>
      <x:c r="U51" s="1196"/>
      <x:c r="V51" s="1196"/>
      <x:c r="W51" s="1196"/>
      <x:c r="X51" s="1196"/>
    </x:row>
    <x:row r="52">
      <x:c r="A52" s="26"/>
      <x:c r="B52" s="26"/>
      <x:c r="C52" s="26"/>
      <x:c r="D52" s="26"/>
      <x:c r="E52" s="26"/>
      <x:c r="F52" s="26"/>
      <x:c r="G52" s="26" t="str">
        <x:v>The leading testable structural scenario is not proven, established or evidence-preferred.</x:v>
      </x:c>
      <x:c r="U52" s="1196"/>
      <x:c r="V52" s="1196"/>
      <x:c r="W52" s="1196"/>
      <x:c r="X52" s="1196"/>
    </x:row>
    <x:row r="53">
      <x:c r="U53" s="1196"/>
      <x:c r="V53" s="1196"/>
      <x:c r="W53" s="1196"/>
      <x:c r="X53" s="1196"/>
    </x:row>
    <x:row r="54">
      <x:c r="U54" s="1196"/>
      <x:c r="V54" s="1196"/>
      <x:c r="W54" s="1196"/>
      <x:c r="X54" s="1196"/>
    </x:row>
    <x:row r="55">
      <x:c r="A55" s="1239" t="str">
        <x:v>Universal core plus targeted accelerator — public result</x:v>
      </x:c>
      <x:c r="B55" s="1239"/>
      <x:c r="C55" s="1239"/>
      <x:c r="D55" s="1239"/>
      <x:c r="E55" s="1239"/>
      <x:c r="F55" s="1239"/>
      <x:c r="G55" s="1239"/>
      <x:c r="H55" s="1239"/>
      <x:c r="U55" s="1196"/>
      <x:c r="V55" s="1196"/>
      <x:c r="W55" s="1196"/>
      <x:c r="X55" s="1196"/>
    </x:row>
    <x:row r="56">
      <x:c r="A56" s="1219" t="str">
        <x:v>Annual cost</x:v>
      </x:c>
      <x:c r="B56" s="167" t="n">
        <x:f>G21</x:f>
        <x:v>875015750.3583333</x:v>
      </x:c>
      <x:c r="C56" s="1251" t="str">
        <x:v>Effective affected employed population</x:v>
      </x:c>
      <x:c r="D56" s="1246" t="n">
        <x:f>'Human Capital &amp; Earnings'!F110</x:f>
        <x:v>9442.238597384423</x:v>
      </x:c>
      <x:c r="E56" s="1219" t="str">
        <x:v>Affected-population social break-even — 2%</x:v>
      </x:c>
      <x:c r="F56" s="1247" t="n">
        <x:f>'Human Capital &amp; Earnings'!J110</x:f>
        <x:v>0.022715858868379204</x:v>
      </x:c>
      <x:c r="G56" s="1252" t="str">
        <x:v>Full-cohort-equivalent break-even — 2%</x:v>
      </x:c>
      <x:c r="H56" s="1247" t="n">
        <x:f>'Earnings Uplift Bridge'!H35</x:f>
        <x:v>0.004047235729803591</x:v>
      </x:c>
      <x:c r="U56" s="1196"/>
      <x:c r="V56" s="1196"/>
      <x:c r="W56" s="1196"/>
      <x:c r="X56" s="1196"/>
    </x:row>
    <x:row r="57">
      <x:c r="A57" s="1219" t="str">
        <x:v>Retained high-risk effect assumption</x:v>
      </x:c>
      <x:c r="B57" s="1244" t="n">
        <x:f>I21</x:f>
        <x:v>1</x:v>
      </x:c>
      <x:c r="C57" s="1251" t="str">
        <x:v>Evidence status</x:v>
      </x:c>
      <x:c r="D57" s="1248" t="str">
        <x:f>M21</x:f>
        <x:v>Scenario only — retained high-risk effect unproven</x:v>
      </x:c>
      <x:c r="E57" s="1253" t="str">
        <x:v>Decision use</x:v>
      </x:c>
      <x:c r="F57" s="1222" t="str">
        <x:v>Leading testable structural scenario</x:v>
      </x:c>
      <x:c r="G57" s="1222"/>
      <x:c r="H57" s="1222"/>
      <x:c r="U57" s="1196"/>
      <x:c r="V57" s="1196"/>
      <x:c r="W57" s="1196"/>
      <x:c r="X57" s="1196"/>
    </x:row>
    <x:row r="58" ht="42" customHeight="1">
      <x:c r="A58" s="1256" t="str">
        <x:v>WARNING — This scenario is financially promising because it assumes substantially lower universal cost while retaining strong high-risk effects through targeted support. That retained effect has not been demonstrated and must be tested.</x:v>
      </x:c>
      <x:c r="B58" s="1256"/>
      <x:c r="C58" s="1256"/>
      <x:c r="D58" s="1256"/>
      <x:c r="E58" s="1256"/>
      <x:c r="F58" s="1256"/>
      <x:c r="G58" s="1256"/>
      <x:c r="H58" s="1256"/>
      <x:c r="U58" s="1196"/>
      <x:c r="V58" s="1196"/>
      <x:c r="W58" s="1196"/>
      <x:c r="X58" s="1196"/>
    </x:row>
    <x:row r="59">
      <x:c r="A59"/>
      <x:c r="B59"/>
      <x:c r="C59"/>
      <x:c r="D59"/>
      <x:c r="E59"/>
      <x:c r="F59"/>
      <x:c r="G59"/>
      <x:c r="H59"/>
      <x:c r="U59" s="1196"/>
      <x:c r="V59" s="1196"/>
      <x:c r="W59" s="1196"/>
      <x:c r="X59" s="1196"/>
    </x:row>
    <x:row r="60">
      <x:c r="A60" s="1218" t="str">
        <x:v>Affected-population uplift</x:v>
      </x:c>
      <x:c r="B60" s="1218" t="str">
        <x:v>Full-expenditure BCR — 2%</x:v>
      </x:c>
      <x:c r="C60" s="1218" t="str">
        <x:v>Conventional net social ROI</x:v>
      </x:c>
      <x:c r="D60" s="1218" t="str">
        <x:v>Crown fiscal coverage — 4%</x:v>
      </x:c>
      <x:c r="E60" s="1218" t="str">
        <x:v>Net Crown fiscal ROI</x:v>
      </x:c>
      <x:c r="F60" s="1218" t="str">
        <x:v>Annual cost</x:v>
      </x:c>
      <x:c r="G60" s="1218" t="str">
        <x:v>Retained high-risk effect</x:v>
      </x:c>
      <x:c r="H60" s="1218" t="str">
        <x:v>Status</x:v>
      </x:c>
      <x:c r="U60" s="1196"/>
      <x:c r="V60" s="1196"/>
      <x:c r="W60" s="1196"/>
      <x:c r="X60" s="1196"/>
    </x:row>
    <x:row r="61">
      <x:c r="A61" s="1086" t="n">
        <x:v>0.01</x:v>
      </x:c>
      <x:c r="B61" s="593" t="n">
        <x:f>('Human Capital &amp; Earnings'!D110+'Human Capital &amp; Earnings'!G110*1)/'Human Capital &amp; Earnings'!C110</x:f>
        <x:v>0.6866288601990855</x:v>
      </x:c>
      <x:c r="C61" s="276" t="n">
        <x:f>B61-1</x:f>
        <x:v>-0.31337113980091447</x:v>
      </x:c>
      <x:c r="D61" s="276" t="n">
        <x:f>('Human Capital &amp; Earnings'!E111+'Human Capital &amp; Earnings'!I111+'Human Capital &amp; Earnings'!H111*1+'Delivery Scenarios'!K21)/'Human Capital &amp; Earnings'!C111</x:f>
        <x:v>0.24606250337599564</x:v>
      </x:c>
      <x:c r="E61" s="276" t="n">
        <x:f>D61-1</x:f>
        <x:v>-0.7539374966240043</x:v>
      </x:c>
      <x:c r="F61" s="167" t="n">
        <x:f>G21</x:f>
        <x:v>875015750.3583333</x:v>
      </x:c>
      <x:c r="G61" s="1244" t="n">
        <x:f>I21</x:f>
        <x:v>1</x:v>
      </x:c>
      <x:c r="H61" s="1222" t="str">
        <x:f>IF(B61&gt;1.05,"SOCIAL BCR ABOVE 1.00x",IF(B61&gt;=0.95,"APPROX. SOCIAL BREAK-EVEN","SOCIAL BCR BELOW 1.00x"))</x:f>
        <x:v>SOCIAL BCR BELOW 1.00x</x:v>
      </x:c>
      <x:c r="U61" s="1196"/>
      <x:c r="V61" s="1196"/>
      <x:c r="W61" s="1196"/>
      <x:c r="X61" s="1196"/>
    </x:row>
    <x:row r="62">
      <x:c r="A62" s="1086" t="n">
        <x:v>0.03</x:v>
      </x:c>
      <x:c r="B62" s="593" t="n">
        <x:f>('Human Capital &amp; Earnings'!D110+'Human Capital &amp; Earnings'!G110*3)/'Human Capital &amp; Earnings'!C110</x:f>
        <x:v>1.1795112412393174</x:v>
      </x:c>
      <x:c r="C62" s="276" t="n">
        <x:f>B62-1</x:f>
        <x:v>0.1795112412393174</x:v>
      </x:c>
      <x:c r="D62" s="276" t="n">
        <x:f>('Human Capital &amp; Earnings'!E111+'Human Capital &amp; Earnings'!I111+'Human Capital &amp; Earnings'!H111*3+'Delivery Scenarios'!K21)/'Human Capital &amp; Earnings'!C111</x:f>
        <x:v>0.3535072411235533</x:v>
      </x:c>
      <x:c r="E62" s="276" t="n">
        <x:f>D62-1</x:f>
        <x:v>-0.6464927588764466</x:v>
      </x:c>
      <x:c r="F62" s="167" t="n">
        <x:f>G21</x:f>
        <x:v>875015750.3583333</x:v>
      </x:c>
      <x:c r="G62" s="1244" t="n">
        <x:f>I21</x:f>
        <x:v>1</x:v>
      </x:c>
      <x:c r="H62" s="1222" t="str">
        <x:f>IF(B62&gt;1.05,"SOCIAL BCR ABOVE 1.00x",IF(B62&gt;=0.95,"APPROX. SOCIAL BREAK-EVEN","SOCIAL BCR BELOW 1.00x"))</x:f>
        <x:v>SOCIAL BCR ABOVE 1.00x</x:v>
      </x:c>
      <x:c r="U62" s="1196"/>
      <x:c r="V62" s="1196"/>
      <x:c r="W62" s="1196"/>
      <x:c r="X62" s="1196"/>
    </x:row>
    <x:row r="63">
      <x:c r="A63" s="1086" t="n">
        <x:v>0.05</x:v>
      </x:c>
      <x:c r="B63" s="593" t="n">
        <x:f>('Human Capital &amp; Earnings'!D110+'Human Capital &amp; Earnings'!G110*5)/'Human Capital &amp; Earnings'!C110</x:f>
        <x:v>1.6723936222795492</x:v>
      </x:c>
      <x:c r="C63" s="276" t="n">
        <x:f>B63-1</x:f>
        <x:v>0.6723936222795492</x:v>
      </x:c>
      <x:c r="D63" s="276" t="n">
        <x:f>('Human Capital &amp; Earnings'!E111+'Human Capital &amp; Earnings'!I111+'Human Capital &amp; Earnings'!H111*5+'Delivery Scenarios'!K21)/'Human Capital &amp; Earnings'!C111</x:f>
        <x:v>0.46095197887111106</x:v>
      </x:c>
      <x:c r="E63" s="276" t="n">
        <x:f>D63-1</x:f>
        <x:v>-0.5390480211288889</x:v>
      </x:c>
      <x:c r="F63" s="167" t="n">
        <x:f>G21</x:f>
        <x:v>875015750.3583333</x:v>
      </x:c>
      <x:c r="G63" s="1244" t="n">
        <x:f>I21</x:f>
        <x:v>1</x:v>
      </x:c>
      <x:c r="H63" s="1222" t="str">
        <x:f>IF(B63&gt;1.05,"SOCIAL BCR ABOVE 1.00x",IF(B63&gt;=0.95,"APPROX. SOCIAL BREAK-EVEN","SOCIAL BCR BELOW 1.00x"))</x:f>
        <x:v>SOCIAL BCR ABOVE 1.00x</x:v>
      </x:c>
      <x:c r="U63" s="1196"/>
      <x:c r="V63" s="1196"/>
      <x:c r="W63" s="1196"/>
      <x:c r="X63" s="1196"/>
    </x:row>
    <x:row r="64">
      <x:c r="A64"/>
      <x:c r="B64"/>
      <x:c r="C64"/>
      <x:c r="D64"/>
      <x:c r="E64"/>
      <x:c r="F64"/>
      <x:c r="G64"/>
      <x:c r="H64"/>
      <x:c r="U64" s="1196"/>
      <x:c r="V64" s="1196"/>
      <x:c r="W64" s="1196"/>
      <x:c r="X64" s="1196"/>
    </x:row>
    <x:row r="65">
      <x:c r="U65" s="1196"/>
      <x:c r="V65" s="1196"/>
      <x:c r="W65" s="1196"/>
      <x:c r="X65" s="1196"/>
    </x:row>
    <x:row r="66">
      <x:c r="U66" s="1196"/>
      <x:c r="V66" s="1196"/>
      <x:c r="W66" s="1196"/>
      <x:c r="X66" s="1196"/>
    </x:row>
    <x:row r="67">
      <x:c r="U67" s="1196"/>
      <x:c r="V67" s="1196"/>
      <x:c r="W67" s="1196"/>
      <x:c r="X67" s="1196"/>
    </x:row>
    <x:row r="68">
      <x:c r="U68" s="1196"/>
      <x:c r="V68" s="1196"/>
      <x:c r="W68" s="1196"/>
      <x:c r="X68" s="1196"/>
    </x:row>
    <x:row r="69">
      <x:c r="U69" s="1196"/>
      <x:c r="V69" s="1196"/>
      <x:c r="W69" s="1196"/>
      <x:c r="X69" s="1196"/>
    </x:row>
    <x:row r="70">
      <x:c r="U70" s="1196"/>
      <x:c r="V70" s="1196"/>
      <x:c r="W70" s="1196"/>
      <x:c r="X70" s="1196"/>
    </x:row>
    <x:row r="71">
      <x:c r="U71" s="1196"/>
      <x:c r="V71" s="1196"/>
      <x:c r="W71" s="1196"/>
      <x:c r="X71" s="1196"/>
    </x:row>
    <x:row r="72">
      <x:c r="U72" s="1196"/>
      <x:c r="V72" s="1196"/>
      <x:c r="W72" s="1196"/>
      <x:c r="X72" s="1196"/>
    </x:row>
    <x:row r="73">
      <x:c r="U73" s="1196"/>
      <x:c r="V73" s="1196"/>
      <x:c r="W73" s="1196"/>
      <x:c r="X73" s="1196"/>
    </x:row>
    <x:row r="74">
      <x:c r="U74" s="1196"/>
      <x:c r="V74" s="1196"/>
      <x:c r="W74" s="1196"/>
      <x:c r="X74" s="1196"/>
    </x:row>
    <x:row r="75">
      <x:c r="U75" s="1196"/>
      <x:c r="V75" s="1196"/>
      <x:c r="W75" s="1196"/>
      <x:c r="X75" s="1196"/>
    </x:row>
    <x:row r="76">
      <x:c r="U76" s="1196"/>
      <x:c r="V76" s="1196"/>
      <x:c r="W76" s="1196"/>
      <x:c r="X76" s="1196"/>
    </x:row>
    <x:row r="77">
      <x:c r="U77" s="1196"/>
      <x:c r="V77" s="1196"/>
      <x:c r="W77" s="1196"/>
      <x:c r="X77" s="1196"/>
    </x:row>
    <x:row r="78">
      <x:c r="U78" s="1196"/>
      <x:c r="V78" s="1196"/>
      <x:c r="W78" s="1196"/>
      <x:c r="X78" s="1196"/>
    </x:row>
    <x:row r="79">
      <x:c r="U79" s="1196"/>
      <x:c r="V79" s="1196"/>
      <x:c r="W79" s="1196"/>
      <x:c r="X79" s="1196"/>
    </x:row>
    <x:row r="80">
      <x:c r="U80" s="1196"/>
      <x:c r="V80" s="1196"/>
      <x:c r="W80" s="1196"/>
      <x:c r="X80" s="1196"/>
    </x:row>
    <x:row r="81">
      <x:c r="U81" s="1196"/>
      <x:c r="V81" s="1196"/>
      <x:c r="W81" s="1196"/>
      <x:c r="X81" s="1196"/>
    </x:row>
    <x:row r="82">
      <x:c r="U82" s="1196"/>
      <x:c r="V82" s="1196"/>
      <x:c r="W82" s="1196"/>
      <x:c r="X82" s="1196"/>
    </x:row>
    <x:row r="83">
      <x:c r="U83" s="1196"/>
      <x:c r="V83" s="1196"/>
      <x:c r="W83" s="1196"/>
      <x:c r="X83" s="1196"/>
    </x:row>
    <x:row r="84">
      <x:c r="U84" s="1196"/>
      <x:c r="V84" s="1196"/>
      <x:c r="W84" s="1196"/>
      <x:c r="X84" s="1196"/>
    </x:row>
    <x:row r="85">
      <x:c r="U85" s="1196"/>
      <x:c r="V85" s="1196"/>
      <x:c r="W85" s="1196"/>
      <x:c r="X85" s="1196"/>
    </x:row>
    <x:row r="86">
      <x:c r="U86" s="1196"/>
      <x:c r="V86" s="1196"/>
      <x:c r="W86" s="1196"/>
      <x:c r="X86" s="1196"/>
    </x:row>
    <x:row r="87">
      <x:c r="U87" s="1196"/>
      <x:c r="V87" s="1196"/>
      <x:c r="W87" s="1196"/>
      <x:c r="X87" s="1196"/>
    </x:row>
    <x:row r="88">
      <x:c r="U88" s="1196"/>
      <x:c r="V88" s="1196"/>
      <x:c r="W88" s="1196"/>
      <x:c r="X88" s="1196"/>
    </x:row>
    <x:row r="89">
      <x:c r="U89" s="1196"/>
      <x:c r="V89" s="1196"/>
      <x:c r="W89" s="1196"/>
      <x:c r="X89" s="1196"/>
    </x:row>
    <x:row r="90">
      <x:c r="U90" s="1196"/>
      <x:c r="V90" s="1196"/>
      <x:c r="W90" s="1196"/>
      <x:c r="X90" s="1196"/>
    </x:row>
    <x:row r="91">
      <x:c r="U91" s="1196"/>
      <x:c r="V91" s="1196"/>
      <x:c r="W91" s="1196"/>
      <x:c r="X91" s="1196"/>
    </x:row>
    <x:row r="92">
      <x:c r="U92" s="1196"/>
      <x:c r="V92" s="1196"/>
      <x:c r="W92" s="1196"/>
      <x:c r="X92" s="1196"/>
    </x:row>
    <x:row r="93">
      <x:c r="U93" s="1196"/>
      <x:c r="V93" s="1196"/>
      <x:c r="W93" s="1196"/>
      <x:c r="X93" s="1196"/>
    </x:row>
    <x:row r="94">
      <x:c r="U94" s="1196"/>
      <x:c r="V94" s="1196"/>
      <x:c r="W94" s="1196"/>
      <x:c r="X94" s="1196"/>
    </x:row>
    <x:row r="95">
      <x:c r="U95" s="1196"/>
      <x:c r="V95" s="1196"/>
      <x:c r="W95" s="1196"/>
      <x:c r="X95" s="1196"/>
    </x:row>
    <x:row r="96">
      <x:c r="U96" s="1196"/>
      <x:c r="V96" s="1196"/>
      <x:c r="W96" s="1196"/>
      <x:c r="X96" s="1196"/>
    </x:row>
    <x:row r="97">
      <x:c r="U97" s="1196"/>
      <x:c r="V97" s="1196"/>
      <x:c r="W97" s="1196"/>
      <x:c r="X97" s="1196"/>
    </x:row>
    <x:row r="98">
      <x:c r="U98" s="1196"/>
      <x:c r="V98" s="1196"/>
      <x:c r="W98" s="1196"/>
      <x:c r="X98" s="1196"/>
    </x:row>
    <x:row r="99">
      <x:c r="U99" s="1196"/>
      <x:c r="V99" s="1196"/>
      <x:c r="W99" s="1196"/>
      <x:c r="X99" s="1196"/>
    </x:row>
    <x:row r="100">
      <x:c r="U100" s="1196"/>
      <x:c r="V100" s="1196"/>
      <x:c r="W100" s="1196"/>
      <x:c r="X100" s="1196"/>
    </x:row>
    <x:row r="101">
      <x:c r="U101" s="1196"/>
      <x:c r="V101" s="1196"/>
      <x:c r="W101" s="1196"/>
      <x:c r="X101" s="1196"/>
    </x:row>
    <x:row r="102">
      <x:c r="U102" s="1196"/>
      <x:c r="V102" s="1196"/>
      <x:c r="W102" s="1196"/>
      <x:c r="X102" s="1196"/>
    </x:row>
    <x:row r="103">
      <x:c r="U103" s="1196"/>
      <x:c r="V103" s="1196"/>
      <x:c r="W103" s="1196"/>
      <x:c r="X103" s="1196"/>
    </x:row>
    <x:row r="104">
      <x:c r="U104" s="1196"/>
      <x:c r="V104" s="1196"/>
      <x:c r="W104" s="1196"/>
      <x:c r="X104" s="1196"/>
    </x:row>
    <x:row r="105">
      <x:c r="U105" s="1196"/>
      <x:c r="V105" s="1196"/>
      <x:c r="W105" s="1196"/>
      <x:c r="X105" s="1196"/>
    </x:row>
    <x:row r="106">
      <x:c r="U106" s="1196"/>
      <x:c r="V106" s="1196"/>
      <x:c r="W106" s="1196"/>
      <x:c r="X106" s="1196"/>
    </x:row>
    <x:row r="107">
      <x:c r="U107" s="1196"/>
      <x:c r="V107" s="1196"/>
      <x:c r="W107" s="1196"/>
      <x:c r="X107" s="1196"/>
    </x:row>
    <x:row r="108">
      <x:c r="U108" s="1196"/>
      <x:c r="V108" s="1196"/>
      <x:c r="W108" s="1196"/>
      <x:c r="X108" s="1196"/>
    </x:row>
    <x:row r="109">
      <x:c r="U109" s="1196"/>
      <x:c r="V109" s="1196"/>
      <x:c r="W109" s="1196"/>
      <x:c r="X109" s="1196"/>
    </x:row>
    <x:row r="110">
      <x:c r="U110" s="1196"/>
      <x:c r="V110" s="1196"/>
      <x:c r="W110" s="1196"/>
      <x:c r="X110" s="1196"/>
    </x:row>
    <x:row r="111">
      <x:c r="U111" s="1196"/>
      <x:c r="V111" s="1196"/>
      <x:c r="W111" s="1196"/>
      <x:c r="X111" s="1196"/>
    </x:row>
    <x:row r="112">
      <x:c r="U112" s="1196"/>
      <x:c r="V112" s="1196"/>
      <x:c r="W112" s="1196"/>
      <x:c r="X112" s="1196"/>
    </x:row>
    <x:row r="113">
      <x:c r="U113" s="1196"/>
      <x:c r="V113" s="1196"/>
      <x:c r="W113" s="1196"/>
      <x:c r="X113" s="1196"/>
    </x:row>
    <x:row r="114">
      <x:c r="U114" s="1196"/>
      <x:c r="V114" s="1196"/>
      <x:c r="W114" s="1196"/>
      <x:c r="X114" s="1196"/>
    </x:row>
    <x:row r="115">
      <x:c r="U115" s="1196"/>
      <x:c r="V115" s="1196"/>
      <x:c r="W115" s="1196"/>
      <x:c r="X115" s="1196"/>
    </x:row>
    <x:row r="116">
      <x:c r="U116" s="1196"/>
      <x:c r="V116" s="1196"/>
      <x:c r="W116" s="1196"/>
      <x:c r="X116" s="1196"/>
    </x:row>
    <x:row r="117">
      <x:c r="U117" s="1196"/>
      <x:c r="V117" s="1196"/>
      <x:c r="W117" s="1196"/>
      <x:c r="X117" s="1196"/>
    </x:row>
    <x:row r="118">
      <x:c r="U118" s="1196"/>
      <x:c r="V118" s="1196"/>
      <x:c r="W118" s="1196"/>
      <x:c r="X118" s="1196"/>
    </x:row>
    <x:row r="119">
      <x:c r="U119" s="1196"/>
      <x:c r="V119" s="1196"/>
      <x:c r="W119" s="1196"/>
      <x:c r="X119" s="1196"/>
    </x:row>
    <x:row r="120">
      <x:c r="U120" s="1196"/>
      <x:c r="V120" s="1196"/>
      <x:c r="W120" s="1196"/>
      <x:c r="X120" s="1196"/>
    </x:row>
    <x:row r="121">
      <x:c r="U121" s="1196"/>
      <x:c r="V121" s="1196"/>
      <x:c r="W121" s="1196"/>
      <x:c r="X121" s="1196"/>
    </x:row>
    <x:row r="122">
      <x:c r="U122" s="1196"/>
      <x:c r="V122" s="1196"/>
      <x:c r="W122" s="1196"/>
      <x:c r="X122" s="1196"/>
    </x:row>
    <x:row r="123">
      <x:c r="U123" s="1196"/>
      <x:c r="V123" s="1196"/>
      <x:c r="W123" s="1196"/>
      <x:c r="X123" s="1196"/>
    </x:row>
    <x:row r="124">
      <x:c r="U124" s="1196"/>
      <x:c r="V124" s="1196"/>
      <x:c r="W124" s="1196"/>
      <x:c r="X124" s="1196"/>
    </x:row>
    <x:row r="125">
      <x:c r="U125" s="1196"/>
      <x:c r="V125" s="1196"/>
      <x:c r="W125" s="1196"/>
      <x:c r="X125" s="1196"/>
    </x:row>
    <x:row r="126">
      <x:c r="U126" s="1196"/>
      <x:c r="V126" s="1196"/>
      <x:c r="W126" s="1196"/>
      <x:c r="X126" s="1196"/>
    </x:row>
    <x:row r="127">
      <x:c r="U127" s="1196"/>
      <x:c r="V127" s="1196"/>
      <x:c r="W127" s="1196"/>
      <x:c r="X127" s="1196"/>
    </x:row>
    <x:row r="128">
      <x:c r="U128" s="1196"/>
      <x:c r="V128" s="1196"/>
      <x:c r="W128" s="1196"/>
      <x:c r="X128" s="1196"/>
    </x:row>
    <x:row r="129">
      <x:c r="U129" s="1196"/>
      <x:c r="V129" s="1196"/>
      <x:c r="W129" s="1196"/>
      <x:c r="X129" s="1196"/>
    </x:row>
    <x:row r="130">
      <x:c r="U130" s="1196"/>
      <x:c r="V130" s="1196"/>
      <x:c r="W130" s="1196"/>
      <x:c r="X130" s="1196"/>
    </x:row>
    <x:row r="131">
      <x:c r="U131" s="1196"/>
      <x:c r="V131" s="1196"/>
      <x:c r="W131" s="1196"/>
      <x:c r="X131" s="1196"/>
    </x:row>
    <x:row r="132">
      <x:c r="U132" s="1196"/>
      <x:c r="V132" s="1196"/>
      <x:c r="W132" s="1196"/>
      <x:c r="X132" s="1196"/>
    </x:row>
    <x:row r="133">
      <x:c r="U133" s="1196"/>
      <x:c r="V133" s="1196"/>
      <x:c r="W133" s="1196"/>
      <x:c r="X133" s="1196"/>
    </x:row>
    <x:row r="134">
      <x:c r="U134" s="1196"/>
      <x:c r="V134" s="1196"/>
      <x:c r="W134" s="1196"/>
      <x:c r="X134" s="1196"/>
    </x:row>
    <x:row r="135">
      <x:c r="U135" s="1196"/>
      <x:c r="V135" s="1196"/>
      <x:c r="W135" s="1196"/>
      <x:c r="X135" s="1196"/>
    </x:row>
    <x:row r="136">
      <x:c r="U136" s="1196"/>
      <x:c r="V136" s="1196"/>
      <x:c r="W136" s="1196"/>
      <x:c r="X136" s="1196"/>
    </x:row>
    <x:row r="137">
      <x:c r="U137" s="1196"/>
      <x:c r="V137" s="1196"/>
      <x:c r="W137" s="1196"/>
      <x:c r="X137" s="1196"/>
    </x:row>
    <x:row r="138">
      <x:c r="U138" s="1196"/>
      <x:c r="V138" s="1196"/>
      <x:c r="W138" s="1196"/>
      <x:c r="X138" s="1196"/>
    </x:row>
    <x:row r="139">
      <x:c r="U139" s="1196"/>
      <x:c r="V139" s="1196"/>
      <x:c r="W139" s="1196"/>
      <x:c r="X139" s="1196"/>
    </x:row>
    <x:row r="140">
      <x:c r="U140" s="1196"/>
      <x:c r="V140" s="1196"/>
      <x:c r="W140" s="1196"/>
      <x:c r="X140" s="1196"/>
    </x:row>
    <x:row r="141">
      <x:c r="U141" s="1196"/>
      <x:c r="V141" s="1196"/>
      <x:c r="W141" s="1196"/>
      <x:c r="X141" s="1196"/>
    </x:row>
    <x:row r="142">
      <x:c r="U142" s="1196"/>
      <x:c r="V142" s="1196"/>
      <x:c r="W142" s="1196"/>
      <x:c r="X142" s="1196"/>
    </x:row>
    <x:row r="143">
      <x:c r="U143" s="1196"/>
      <x:c r="V143" s="1196"/>
      <x:c r="W143" s="1196"/>
      <x:c r="X143" s="1196"/>
    </x:row>
    <x:row r="144">
      <x:c r="U144" s="1196"/>
      <x:c r="V144" s="1196"/>
      <x:c r="W144" s="1196"/>
      <x:c r="X144" s="1196"/>
    </x:row>
    <x:row r="145">
      <x:c r="U145" s="1196"/>
      <x:c r="V145" s="1196"/>
      <x:c r="W145" s="1196"/>
      <x:c r="X145" s="1196"/>
    </x:row>
    <x:row r="146">
      <x:c r="U146" s="1196"/>
      <x:c r="V146" s="1196"/>
      <x:c r="W146" s="1196"/>
      <x:c r="X146" s="1196"/>
    </x:row>
    <x:row r="147">
      <x:c r="U147" s="1196"/>
      <x:c r="V147" s="1196"/>
      <x:c r="W147" s="1196"/>
      <x:c r="X147" s="1196"/>
    </x:row>
    <x:row r="148">
      <x:c r="U148" s="1196"/>
      <x:c r="V148" s="1196"/>
      <x:c r="W148" s="1196"/>
      <x:c r="X148" s="1196"/>
    </x:row>
    <x:row r="149">
      <x:c r="U149" s="1196"/>
      <x:c r="V149" s="1196"/>
      <x:c r="W149" s="1196"/>
      <x:c r="X149" s="1196"/>
    </x:row>
    <x:row r="150">
      <x:c r="U150" s="1196"/>
      <x:c r="V150" s="1196"/>
      <x:c r="W150" s="1196"/>
      <x:c r="X150" s="1196"/>
    </x:row>
    <x:row r="151">
      <x:c r="U151" s="1196"/>
      <x:c r="V151" s="1196"/>
      <x:c r="W151" s="1196"/>
      <x:c r="X151" s="1196"/>
    </x:row>
    <x:row r="152">
      <x:c r="U152" s="1196"/>
      <x:c r="V152" s="1196"/>
      <x:c r="W152" s="1196"/>
      <x:c r="X152" s="1196"/>
    </x:row>
    <x:row r="153">
      <x:c r="U153" s="1196"/>
      <x:c r="V153" s="1196"/>
      <x:c r="W153" s="1196"/>
      <x:c r="X153" s="1196"/>
    </x:row>
    <x:row r="154">
      <x:c r="U154" s="1196"/>
      <x:c r="V154" s="1196"/>
      <x:c r="W154" s="1196"/>
      <x:c r="X154" s="1196"/>
    </x:row>
    <x:row r="155">
      <x:c r="U155" s="1196"/>
      <x:c r="V155" s="1196"/>
      <x:c r="W155" s="1196"/>
      <x:c r="X155" s="1196"/>
    </x:row>
    <x:row r="156">
      <x:c r="U156" s="1196"/>
      <x:c r="V156" s="1196"/>
      <x:c r="W156" s="1196"/>
      <x:c r="X156" s="1196"/>
    </x:row>
    <x:row r="157">
      <x:c r="U157" s="1196"/>
      <x:c r="V157" s="1196"/>
      <x:c r="W157" s="1196"/>
      <x:c r="X157" s="1196"/>
    </x:row>
    <x:row r="158">
      <x:c r="U158" s="1196"/>
      <x:c r="V158" s="1196"/>
      <x:c r="W158" s="1196"/>
      <x:c r="X158" s="1196"/>
    </x:row>
    <x:row r="159">
      <x:c r="U159" s="1196"/>
      <x:c r="V159" s="1196"/>
      <x:c r="W159" s="1196"/>
      <x:c r="X159" s="1196"/>
    </x:row>
    <x:row r="160">
      <x:c r="U160" s="1196"/>
      <x:c r="V160" s="1196"/>
      <x:c r="W160" s="1196"/>
      <x:c r="X160" s="1196"/>
    </x:row>
    <x:row r="161">
      <x:c r="U161" s="1196"/>
      <x:c r="V161" s="1196"/>
      <x:c r="W161" s="1196"/>
      <x:c r="X161" s="1196"/>
    </x:row>
    <x:row r="162">
      <x:c r="U162" s="1196"/>
      <x:c r="V162" s="1196"/>
      <x:c r="W162" s="1196"/>
      <x:c r="X162" s="1196"/>
    </x:row>
    <x:row r="163">
      <x:c r="U163" s="1196"/>
      <x:c r="V163" s="1196"/>
      <x:c r="W163" s="1196"/>
      <x:c r="X163" s="1196"/>
    </x:row>
    <x:row r="164">
      <x:c r="U164" s="1196"/>
      <x:c r="V164" s="1196"/>
      <x:c r="W164" s="1196"/>
      <x:c r="X164" s="1196"/>
    </x:row>
    <x:row r="165">
      <x:c r="U165" s="1196"/>
      <x:c r="V165" s="1196"/>
      <x:c r="W165" s="1196"/>
      <x:c r="X165" s="1196"/>
    </x:row>
    <x:row r="166">
      <x:c r="U166" s="1196"/>
      <x:c r="V166" s="1196"/>
      <x:c r="W166" s="1196"/>
      <x:c r="X166" s="1196"/>
    </x:row>
    <x:row r="167">
      <x:c r="U167" s="1196"/>
      <x:c r="V167" s="1196"/>
      <x:c r="W167" s="1196"/>
      <x:c r="X167" s="1196"/>
    </x:row>
    <x:row r="168">
      <x:c r="U168" s="1196"/>
      <x:c r="V168" s="1196"/>
      <x:c r="W168" s="1196"/>
      <x:c r="X168" s="1196"/>
    </x:row>
    <x:row r="169">
      <x:c r="U169" s="1196"/>
      <x:c r="V169" s="1196"/>
      <x:c r="W169" s="1196"/>
      <x:c r="X169" s="1196"/>
    </x:row>
    <x:row r="170">
      <x:c r="U170" s="1196"/>
      <x:c r="V170" s="1196"/>
      <x:c r="W170" s="1196"/>
      <x:c r="X170" s="1196"/>
    </x:row>
    <x:row r="171">
      <x:c r="U171" s="1196"/>
      <x:c r="V171" s="1196"/>
      <x:c r="W171" s="1196"/>
      <x:c r="X171" s="1196"/>
    </x:row>
    <x:row r="172">
      <x:c r="U172" s="1196"/>
      <x:c r="V172" s="1196"/>
      <x:c r="W172" s="1196"/>
      <x:c r="X172" s="1196"/>
    </x:row>
    <x:row r="173">
      <x:c r="U173" s="1196"/>
      <x:c r="V173" s="1196"/>
      <x:c r="W173" s="1196"/>
      <x:c r="X173" s="1196"/>
    </x:row>
    <x:row r="174">
      <x:c r="U174" s="1196"/>
      <x:c r="V174" s="1196"/>
      <x:c r="W174" s="1196"/>
      <x:c r="X174" s="1196"/>
    </x:row>
    <x:row r="175">
      <x:c r="U175" s="1196"/>
      <x:c r="V175" s="1196"/>
      <x:c r="W175" s="1196"/>
      <x:c r="X175" s="1196"/>
    </x:row>
    <x:row r="176">
      <x:c r="U176" s="1196"/>
      <x:c r="V176" s="1196"/>
      <x:c r="W176" s="1196"/>
      <x:c r="X176" s="1196"/>
    </x:row>
    <x:row r="177">
      <x:c r="U177" s="1196"/>
      <x:c r="V177" s="1196"/>
      <x:c r="W177" s="1196"/>
      <x:c r="X177" s="1196"/>
    </x:row>
    <x:row r="178">
      <x:c r="U178" s="1196"/>
      <x:c r="V178" s="1196"/>
      <x:c r="W178" s="1196"/>
      <x:c r="X178" s="1196"/>
    </x:row>
    <x:row r="179">
      <x:c r="U179" s="1196"/>
      <x:c r="V179" s="1196"/>
      <x:c r="W179" s="1196"/>
      <x:c r="X179" s="1196"/>
    </x:row>
    <x:row r="180">
      <x:c r="U180" s="1196"/>
      <x:c r="V180" s="1196"/>
      <x:c r="W180" s="1196"/>
      <x:c r="X180" s="1196"/>
    </x:row>
    <x:row r="181">
      <x:c r="U181" s="1196"/>
      <x:c r="V181" s="1196"/>
      <x:c r="W181" s="1196"/>
      <x:c r="X181" s="1196"/>
    </x:row>
    <x:row r="182">
      <x:c r="U182" s="1196"/>
      <x:c r="V182" s="1196"/>
      <x:c r="W182" s="1196"/>
      <x:c r="X182" s="1196"/>
    </x:row>
    <x:row r="183">
      <x:c r="U183" s="1196"/>
      <x:c r="V183" s="1196"/>
      <x:c r="W183" s="1196"/>
      <x:c r="X183" s="1196"/>
    </x:row>
    <x:row r="184">
      <x:c r="U184" s="1196"/>
      <x:c r="V184" s="1196"/>
      <x:c r="W184" s="1196"/>
      <x:c r="X184" s="1196"/>
    </x:row>
    <x:row r="185">
      <x:c r="U185" s="1196"/>
      <x:c r="V185" s="1196"/>
      <x:c r="W185" s="1196"/>
      <x:c r="X185" s="1196"/>
    </x:row>
    <x:row r="186">
      <x:c r="U186" s="1196"/>
      <x:c r="V186" s="1196"/>
      <x:c r="W186" s="1196"/>
      <x:c r="X186" s="1196"/>
    </x:row>
    <x:row r="187">
      <x:c r="U187" s="1196"/>
      <x:c r="V187" s="1196"/>
      <x:c r="W187" s="1196"/>
      <x:c r="X187" s="1196"/>
    </x:row>
    <x:row r="188">
      <x:c r="U188" s="1196"/>
      <x:c r="V188" s="1196"/>
      <x:c r="W188" s="1196"/>
      <x:c r="X188" s="1196"/>
    </x:row>
    <x:row r="189">
      <x:c r="U189" s="1196"/>
      <x:c r="V189" s="1196"/>
      <x:c r="W189" s="1196"/>
      <x:c r="X189" s="1196"/>
    </x:row>
    <x:row r="190">
      <x:c r="U190" s="1196"/>
      <x:c r="V190" s="1196"/>
      <x:c r="W190" s="1196"/>
      <x:c r="X190" s="1196"/>
    </x:row>
    <x:row r="191">
      <x:c r="U191" s="1196"/>
      <x:c r="V191" s="1196"/>
      <x:c r="W191" s="1196"/>
      <x:c r="X191" s="1196"/>
    </x:row>
    <x:row r="192">
      <x:c r="U192" s="1196"/>
      <x:c r="V192" s="1196"/>
      <x:c r="W192" s="1196"/>
      <x:c r="X192" s="1196"/>
    </x:row>
    <x:row r="193">
      <x:c r="U193" s="1196"/>
      <x:c r="V193" s="1196"/>
      <x:c r="W193" s="1196"/>
      <x:c r="X193" s="1196"/>
    </x:row>
    <x:row r="194">
      <x:c r="U194" s="1196"/>
      <x:c r="V194" s="1196"/>
      <x:c r="W194" s="1196"/>
      <x:c r="X194" s="1196"/>
    </x:row>
    <x:row r="195">
      <x:c r="U195" s="1196"/>
      <x:c r="V195" s="1196"/>
      <x:c r="W195" s="1196"/>
      <x:c r="X195" s="1196"/>
    </x:row>
    <x:row r="196">
      <x:c r="U196" s="1196"/>
      <x:c r="V196" s="1196"/>
      <x:c r="W196" s="1196"/>
      <x:c r="X196" s="1196"/>
    </x:row>
    <x:row r="197">
      <x:c r="U197" s="1196"/>
      <x:c r="V197" s="1196"/>
      <x:c r="W197" s="1196"/>
      <x:c r="X197" s="1196"/>
    </x:row>
    <x:row r="198">
      <x:c r="U198" s="1196"/>
      <x:c r="V198" s="1196"/>
      <x:c r="W198" s="1196"/>
      <x:c r="X198" s="1196"/>
    </x:row>
    <x:row r="199">
      <x:c r="U199" s="1196"/>
      <x:c r="V199" s="1196"/>
      <x:c r="W199" s="1196"/>
      <x:c r="X199" s="1196"/>
    </x:row>
    <x:row r="200">
      <x:c r="U200" s="1196"/>
      <x:c r="V200" s="1196"/>
      <x:c r="W200" s="1196"/>
      <x:c r="X200" s="1196"/>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N1"/>
    <x:mergeCell ref="A2:N2"/>
    <x:mergeCell ref="A4:N4"/>
    <x:mergeCell ref="A18:N18"/>
    <x:mergeCell ref="A26:N26"/>
    <x:mergeCell ref="A35:N35"/>
    <x:mergeCell ref="A36:B36"/>
    <x:mergeCell ref="C36:N36"/>
    <x:mergeCell ref="A37:B37"/>
    <x:mergeCell ref="C37:N37"/>
    <x:mergeCell ref="A38:B38"/>
    <x:mergeCell ref="C38:N38"/>
    <x:mergeCell ref="A39:B39"/>
    <x:mergeCell ref="C39:N39"/>
    <x:mergeCell ref="A40:B40"/>
    <x:mergeCell ref="C40:N40"/>
    <x:mergeCell ref="A41:B41"/>
    <x:mergeCell ref="C41:N41"/>
    <x:mergeCell ref="A42:B42"/>
    <x:mergeCell ref="C42:N42"/>
    <x:mergeCell ref="A43:B43"/>
    <x:mergeCell ref="C43:N43"/>
    <x:mergeCell ref="A44:B44"/>
    <x:mergeCell ref="C44:N44"/>
    <x:mergeCell ref="A16:N16"/>
    <x:mergeCell ref="A46:G46"/>
    <x:mergeCell ref="U1:X1"/>
    <x:mergeCell ref="V2:X2"/>
    <x:mergeCell ref="V3:X3"/>
    <x:mergeCell ref="V4:X4"/>
    <x:mergeCell ref="V5:X5"/>
    <x:mergeCell ref="V6:X6"/>
    <x:mergeCell ref="V7:X7"/>
    <x:mergeCell ref="A55:H55"/>
    <x:mergeCell ref="F57:H57"/>
    <x:mergeCell ref="A58:H58"/>
  </x:mergeCells>
  <x:conditionalFormatting sqref="B61:B63">
    <x:cfRule type="cellIs" dxfId="8" priority="1" operator="greaterThan">
      <x:formula>1.05</x:formula>
    </x:cfRule>
    <x:cfRule type="cellIs" dxfId="9" priority="2" operator="between">
      <x:formula>0.95</x:formula>
      <x:formula>1.05</x:formula>
    </x:cfRule>
    <x:cfRule type="cellIs" dxfId="10" priority="3" operator="lessThan">
      <x:formula>0.95</x:formula>
    </x:cfRule>
  </x:conditionalFormatting>
  <x:conditionalFormatting sqref="C61:C63">
    <x:cfRule type="cellIs" dxfId="11" priority="4" operator="greaterThan">
      <x:formula>0</x:formula>
    </x:cfRule>
    <x:cfRule type="cellIs" dxfId="12" priority="5" operator="lessThan">
      <x:formula>0</x:formula>
    </x:cfRule>
  </x:conditionalFormatting>
  <x:conditionalFormatting sqref="D61:D63">
    <x:cfRule type="cellIs" dxfId="13" priority="6" operator="greaterThanOrEqual">
      <x:formula>1</x:formula>
    </x:cfRule>
    <x:cfRule type="cellIs" dxfId="14" priority="7" operator="lessThan">
      <x:formula>1</x:formula>
    </x:cfRule>
  </x:conditionalFormatting>
  <x:conditionalFormatting sqref="E61:E63">
    <x:cfRule type="cellIs" dxfId="15" priority="8" operator="greaterThan">
      <x:formula>0</x:formula>
    </x:cfRule>
    <x:cfRule type="cellIs" dxfId="16" priority="9" operator="lessThan">
      <x:formula>0</x:formula>
    </x:cfRule>
  </x:conditionalFormatting>
  <x:pageMargins left="0.7" right="0.7" top="0.75" bottom="0.75" header="0.3" footer="0.3"/>
</x:worksheet>
</file>

<file path=xl/worksheets/sheet23.xml><?xml version="1.0" encoding="utf-8"?>
<x:worksheet xmlns:x="http://schemas.openxmlformats.org/spreadsheetml/2006/main">
  <x:sheetFormatPr defaultRowHeight="15"/>
  <x:cols>
    <x:col min="1" max="1" width="42"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34" hidden="0" customWidth="1"/>
    <x:col min="9" max="9" width="34" hidden="0" customWidth="1"/>
    <x:col min="10" max="10" width="13" hidden="0" customWidth="1"/>
    <x:col min="11" max="11" width="13" hidden="0" customWidth="1"/>
    <x:col min="12" max="12" width="13" hidden="0" customWidth="1"/>
    <x:col min="13" max="13" width="15" hidden="0" customWidth="1"/>
    <x:col min="14" max="14" width="15" hidden="0" customWidth="1"/>
    <x:col min="15" max="15" width="17" hidden="0" customWidth="1"/>
    <x:col min="16" max="16" width="17" hidden="0" customWidth="1"/>
    <x:col min="17" max="17" width="17" hidden="0" customWidth="1"/>
    <x:col min="18" max="18" width="28" hidden="0" customWidth="1"/>
    <x:col min="19" max="19" width="28" hidden="0" customWidth="1"/>
    <x:col min="21" max="21" width="20" hidden="0" customWidth="1"/>
    <x:col min="22" max="22" width="24" hidden="0" customWidth="1"/>
    <x:col min="23" max="23" width="24" hidden="0" customWidth="1"/>
    <x:col min="24" max="24" width="24" hidden="0" customWidth="1"/>
  </x:cols>
  <x:sheetData>
    <x:row r="1" ht="30" customHeight="1">
      <x:c r="A1" s="960" t="str">
        <x:v>Human Capital &amp; Earnings</x:v>
      </x:c>
      <x:c r="B1" s="960"/>
      <x:c r="C1" s="960"/>
      <x:c r="D1" s="960"/>
      <x:c r="E1" s="960"/>
      <x:c r="F1" s="960"/>
      <x:c r="G1" s="960"/>
      <x:c r="H1" s="960"/>
      <x:c r="I1" s="960"/>
      <x:c r="J1" s="960"/>
      <x:c r="K1" s="960"/>
      <x:c r="L1" s="960"/>
      <x:c r="M1" s="960"/>
      <x:c r="N1" s="960"/>
      <x:c r="O1" s="960"/>
      <x:c r="P1" s="960"/>
      <x:c r="Q1" s="960"/>
      <x:c r="R1" s="960"/>
      <x:c r="S1" s="960"/>
      <x:c r="U1" s="1196"/>
      <x:c r="V1" s="1196"/>
      <x:c r="W1" s="1196"/>
      <x:c r="X1" s="1196"/>
    </x:row>
    <x:row r="2" ht="28" customHeight="1">
      <x:c r="A2" s="901" t="str">
        <x:v>The model separates whole-cohort capability and earnings gains, high-risk disengagement outcomes, and Learning Capital / fiscal offsets. No programme effect is assumed to be proven.</x:v>
      </x:c>
      <x:c r="B2" s="901"/>
      <x:c r="C2" s="901"/>
      <x:c r="D2" s="901"/>
      <x:c r="E2" s="901"/>
      <x:c r="F2" s="901"/>
      <x:c r="G2" s="901"/>
      <x:c r="H2" s="901"/>
      <x:c r="I2" s="901"/>
      <x:c r="J2" s="901"/>
      <x:c r="K2" s="901"/>
      <x:c r="L2" s="901"/>
      <x:c r="M2" s="901"/>
      <x:c r="N2" s="901"/>
      <x:c r="O2" s="901"/>
      <x:c r="P2" s="901"/>
      <x:c r="Q2" s="901"/>
      <x:c r="R2" s="901"/>
      <x:c r="S2" s="901"/>
      <x:c r="U2" s="1201"/>
      <x:c r="V2" s="1201"/>
      <x:c r="W2" s="1201"/>
      <x:c r="X2" s="1201"/>
    </x:row>
    <x:row r="3">
      <x:c r="A3" s="26"/>
      <x:c r="B3" s="26"/>
      <x:c r="C3" s="26"/>
      <x:c r="D3" s="26"/>
      <x:c r="E3" s="26"/>
      <x:c r="F3" s="26"/>
      <x:c r="G3" s="26"/>
      <x:c r="H3" s="26"/>
      <x:c r="I3" s="26"/>
      <x:c r="J3" s="26"/>
      <x:c r="K3" s="26"/>
      <x:c r="L3" s="26"/>
      <x:c r="M3" s="26"/>
      <x:c r="N3" s="26"/>
      <x:c r="O3" s="26"/>
      <x:c r="P3" s="26"/>
      <x:c r="Q3" s="26"/>
      <x:c r="R3" s="26"/>
      <x:c r="S3" s="26"/>
      <x:c r="U3" s="1201"/>
      <x:c r="V3" s="1201"/>
      <x:c r="W3" s="1201"/>
      <x:c r="X3" s="1201"/>
    </x:row>
    <x:row r="4" ht="23" customHeight="1">
      <x:c r="A4" s="905" t="str">
        <x:v>Outcome pathway — mechanism indicators are not separately monetised in the central BCR</x:v>
      </x:c>
      <x:c r="B4" s="905"/>
      <x:c r="C4" s="905"/>
      <x:c r="D4" s="905"/>
      <x:c r="E4" s="905"/>
      <x:c r="F4" s="905"/>
      <x:c r="G4" s="905"/>
      <x:c r="H4" s="905"/>
      <x:c r="I4" s="905"/>
      <x:c r="J4" s="905"/>
      <x:c r="K4" s="905"/>
      <x:c r="L4" s="905"/>
      <x:c r="M4" s="905"/>
      <x:c r="N4" s="905"/>
      <x:c r="O4" s="905"/>
      <x:c r="P4" s="905"/>
      <x:c r="Q4" s="905"/>
      <x:c r="R4" s="905"/>
      <x:c r="S4" s="905"/>
      <x:c r="U4" s="1201"/>
      <x:c r="V4" s="1201"/>
      <x:c r="W4" s="1201"/>
      <x:c r="X4" s="1201"/>
    </x:row>
    <x:row r="5" ht="30" customHeight="1">
      <x:c r="A5" s="909" t="str">
        <x:v>Outcome</x:v>
      </x:c>
      <x:c r="B5" s="909" t="str">
        <x:v>Exposed-population basis</x:v>
      </x:c>
      <x:c r="C5" s="909" t="str">
        <x:v>Counterfactual rate</x:v>
      </x:c>
      <x:c r="D5" s="909" t="str">
        <x:v>Low programme effect</x:v>
      </x:c>
      <x:c r="E5" s="909" t="str">
        <x:v>Central programme effect</x:v>
      </x:c>
      <x:c r="F5" s="909" t="str">
        <x:v>High programme effect</x:v>
      </x:c>
      <x:c r="G5" s="909" t="str">
        <x:v>Persistence</x:v>
      </x:c>
      <x:c r="H5" s="909" t="str">
        <x:v>Timing after school</x:v>
      </x:c>
      <x:c r="I5" s="909" t="str">
        <x:v>Duration</x:v>
      </x:c>
      <x:c r="J5" s="909" t="str">
        <x:v>Attribution</x:v>
      </x:c>
      <x:c r="K5" s="909" t="str">
        <x:v>Deadweight</x:v>
      </x:c>
      <x:c r="L5" s="909" t="str">
        <x:v>Displacement</x:v>
      </x:c>
      <x:c r="M5" s="909" t="str">
        <x:v>Overlap adjustment</x:v>
      </x:c>
      <x:c r="N5" s="909" t="str">
        <x:v>Source ID</x:v>
      </x:c>
      <x:c r="O5" s="909" t="str">
        <x:v>Confidence</x:v>
      </x:c>
      <x:c r="P5" s="909" t="str">
        <x:v>Low additional outcomes</x:v>
      </x:c>
      <x:c r="Q5" s="909" t="str">
        <x:v>Central additional outcomes</x:v>
      </x:c>
      <x:c r="R5" s="909" t="str">
        <x:v>High additional outcomes</x:v>
      </x:c>
      <x:c r="S5" s="909" t="str">
        <x:v>Monetisation treatment</x:v>
      </x:c>
      <x:c r="U5" s="1201"/>
      <x:c r="V5" s="1201"/>
      <x:c r="W5" s="1201"/>
      <x:c r="X5" s="1201"/>
    </x:row>
    <x:row r="6">
      <x:c r="A6" s="26" t="str">
        <x:v>Regular attendance</x:v>
      </x:c>
      <x:c r="B6" s="26" t="str">
        <x:v>Annual entrant cohort</x:v>
      </x:c>
      <x:c r="C6" s="925" t="n">
        <x:v>0.688</x:v>
      </x:c>
      <x:c r="D6" s="925" t="n">
        <x:v>0.01</x:v>
      </x:c>
      <x:c r="E6" s="925" t="n">
        <x:v>0.02</x:v>
      </x:c>
      <x:c r="F6" s="925" t="n">
        <x:v>0.04</x:v>
      </x:c>
      <x:c r="G6" s="925" t="n">
        <x:v>0.75</x:v>
      </x:c>
      <x:c r="H6" s="926" t="n">
        <x:v>0</x:v>
      </x:c>
      <x:c r="I6" s="926" t="n">
        <x:v>1</x:v>
      </x:c>
      <x:c r="J6" s="925" t="n">
        <x:v>0.6</x:v>
      </x:c>
      <x:c r="K6" s="925" t="n">
        <x:v>0.2</x:v>
      </x:c>
      <x:c r="L6" s="925" t="n">
        <x:v>0</x:v>
      </x:c>
      <x:c r="M6" s="925" t="n">
        <x:v>0.25</x:v>
      </x:c>
      <x:c r="N6" s="26" t="str">
        <x:v>S35</x:v>
      </x:c>
      <x:c r="O6" s="26" t="str">
        <x:v>Medium</x:v>
      </x:c>
      <x:c r="P6" s="590" t="n">
        <x:f>Assumptions!$E$133*D6*G6*J6*(1-K6)*(1-L6)*(1-M6)</x:f>
        <x:v>168.34122</x:v>
      </x:c>
      <x:c r="Q6" s="590" t="n">
        <x:f>Assumptions!$E$133*E6*G6*J6*(1-K6)*(1-L6)*(1-M6)</x:f>
        <x:v>336.68244</x:v>
      </x:c>
      <x:c r="R6" s="590" t="n">
        <x:f>Assumptions!$E$133*F6*G6*J6*(1-K6)*(1-L6)*(1-M6)</x:f>
        <x:v>673.36488</x:v>
      </x:c>
      <x:c r="S6" s="26" t="str">
        <x:v>Mechanism only</x:v>
      </x:c>
      <x:c r="U6" s="1201"/>
      <x:c r="V6" s="1201"/>
      <x:c r="W6" s="1201"/>
      <x:c r="X6" s="1201"/>
    </x:row>
    <x:row r="7">
      <x:c r="A7" s="26" t="str">
        <x:v>NCEA Level 2 or equivalent</x:v>
      </x:c>
      <x:c r="B7" s="26" t="str">
        <x:v>Annual entrant cohort</x:v>
      </x:c>
      <x:c r="C7" s="925" t="n">
        <x:v>0.778</x:v>
      </x:c>
      <x:c r="D7" s="925" t="n">
        <x:v>0.005</x:v>
      </x:c>
      <x:c r="E7" s="925" t="n">
        <x:v>0.015</x:v>
      </x:c>
      <x:c r="F7" s="925" t="n">
        <x:v>0.03</x:v>
      </x:c>
      <x:c r="G7" s="925" t="n">
        <x:v>0.8</x:v>
      </x:c>
      <x:c r="H7" s="926" t="n">
        <x:v>2</x:v>
      </x:c>
      <x:c r="I7" s="926" t="n">
        <x:v>1</x:v>
      </x:c>
      <x:c r="J7" s="925" t="n">
        <x:v>0.6</x:v>
      </x:c>
      <x:c r="K7" s="925" t="n">
        <x:v>0.2</x:v>
      </x:c>
      <x:c r="L7" s="925" t="n">
        <x:v>0.05</x:v>
      </x:c>
      <x:c r="M7" s="925" t="n">
        <x:v>0.3</x:v>
      </x:c>
      <x:c r="N7" s="26" t="str">
        <x:v>S36;S37</x:v>
      </x:c>
      <x:c r="O7" s="26" t="str">
        <x:v>Low-Medium</x:v>
      </x:c>
      <x:c r="P7" s="590" t="n">
        <x:f>Assumptions!$E$133*D7*G7*J7*(1-K7)*(1-L7)*(1-M7)</x:f>
        <x:v>79.60669247999999</x:v>
      </x:c>
      <x:c r="Q7" s="590" t="n">
        <x:f>Assumptions!$E$133*E7*G7*J7*(1-K7)*(1-L7)*(1-M7)</x:f>
        <x:v>238.82007743999998</x:v>
      </x:c>
      <x:c r="R7" s="590" t="n">
        <x:f>Assumptions!$E$133*F7*G7*J7*(1-K7)*(1-L7)*(1-M7)</x:f>
        <x:v>477.64015487999995</x:v>
      </x:c>
      <x:c r="S7" s="26" t="str">
        <x:v>Mechanism only</x:v>
      </x:c>
      <x:c r="U7" s="1201"/>
      <x:c r="V7" s="1201"/>
      <x:c r="W7" s="1201"/>
      <x:c r="X7" s="1201"/>
    </x:row>
    <x:row r="8">
      <x:c r="A8" s="26" t="str">
        <x:v>NCEA Level 3 or equivalent</x:v>
      </x:c>
      <x:c r="B8" s="26" t="str">
        <x:v>Annual entrant cohort</x:v>
      </x:c>
      <x:c r="C8" s="925" t="n">
        <x:v>0.59</x:v>
      </x:c>
      <x:c r="D8" s="925" t="n">
        <x:v>0.0025</x:v>
      </x:c>
      <x:c r="E8" s="925" t="n">
        <x:v>0.01</x:v>
      </x:c>
      <x:c r="F8" s="925" t="n">
        <x:v>0.02</x:v>
      </x:c>
      <x:c r="G8" s="925" t="n">
        <x:v>0.8</x:v>
      </x:c>
      <x:c r="H8" s="926" t="n">
        <x:v>2</x:v>
      </x:c>
      <x:c r="I8" s="926" t="n">
        <x:v>1</x:v>
      </x:c>
      <x:c r="J8" s="925" t="n">
        <x:v>0.55</x:v>
      </x:c>
      <x:c r="K8" s="925" t="n">
        <x:v>0.2</x:v>
      </x:c>
      <x:c r="L8" s="925" t="n">
        <x:v>0.05</x:v>
      </x:c>
      <x:c r="M8" s="925" t="n">
        <x:v>0.3</x:v>
      </x:c>
      <x:c r="N8" s="26" t="str">
        <x:v>S36</x:v>
      </x:c>
      <x:c r="O8" s="26" t="str">
        <x:v>Low</x:v>
      </x:c>
      <x:c r="P8" s="590" t="n">
        <x:f>Assumptions!$E$133*D8*G8*J8*(1-K8)*(1-L8)*(1-M8)</x:f>
        <x:v>36.486400720000006</x:v>
      </x:c>
      <x:c r="Q8" s="590" t="n">
        <x:f>Assumptions!$E$133*E8*G8*J8*(1-K8)*(1-L8)*(1-M8)</x:f>
        <x:v>145.94560288000002</x:v>
      </x:c>
      <x:c r="R8" s="590" t="n">
        <x:f>Assumptions!$E$133*F8*G8*J8*(1-K8)*(1-L8)*(1-M8)</x:f>
        <x:v>291.89120576000005</x:v>
      </x:c>
      <x:c r="S8" s="26" t="str">
        <x:v>Mechanism only</x:v>
      </x:c>
      <x:c r="U8" s="1196"/>
      <x:c r="V8" s="1196"/>
      <x:c r="W8" s="1196"/>
      <x:c r="X8" s="1196"/>
    </x:row>
    <x:row r="9">
      <x:c r="A9" s="26" t="str">
        <x:v>Apprenticeship / vocational entry</x:v>
      </x:c>
      <x:c r="B9" s="26" t="str">
        <x:v>Annual entrant cohort</x:v>
      </x:c>
      <x:c r="C9" s="925" t="n">
        <x:v>0.12</x:v>
      </x:c>
      <x:c r="D9" s="925" t="n">
        <x:v>0.0025</x:v>
      </x:c>
      <x:c r="E9" s="925" t="n">
        <x:v>0.0075</x:v>
      </x:c>
      <x:c r="F9" s="925" t="n">
        <x:v>0.015</x:v>
      </x:c>
      <x:c r="G9" s="925" t="n">
        <x:v>0.8</x:v>
      </x:c>
      <x:c r="H9" s="926" t="n">
        <x:v>3</x:v>
      </x:c>
      <x:c r="I9" s="926" t="n">
        <x:v>1</x:v>
      </x:c>
      <x:c r="J9" s="925" t="n">
        <x:v>0.5</x:v>
      </x:c>
      <x:c r="K9" s="925" t="n">
        <x:v>0.25</x:v>
      </x:c>
      <x:c r="L9" s="925" t="n">
        <x:v>0.1</x:v>
      </x:c>
      <x:c r="M9" s="925" t="n">
        <x:v>0.35</x:v>
      </x:c>
      <x:c r="N9" s="26" t="str">
        <x:v>S38;S39</x:v>
      </x:c>
      <x:c r="O9" s="26" t="str">
        <x:v>Low</x:v>
      </x:c>
      <x:c r="P9" s="590" t="n">
        <x:f>Assumptions!$E$133*D9*G9*J9*(1-K9)*(1-L9)*(1-M9)</x:f>
        <x:v>27.355448250000006</x:v>
      </x:c>
      <x:c r="Q9" s="590" t="n">
        <x:f>Assumptions!$E$133*E9*G9*J9*(1-K9)*(1-L9)*(1-M9)</x:f>
        <x:v>82.06634475</x:v>
      </x:c>
      <x:c r="R9" s="590" t="n">
        <x:f>Assumptions!$E$133*F9*G9*J9*(1-K9)*(1-L9)*(1-M9)</x:f>
        <x:v>164.1326895</x:v>
      </x:c>
      <x:c r="S9" s="26" t="str">
        <x:v>Mechanism only</x:v>
      </x:c>
      <x:c r="U9" s="1196"/>
      <x:c r="V9" s="1196"/>
      <x:c r="W9" s="1196"/>
      <x:c r="X9" s="1196"/>
    </x:row>
    <x:row r="10">
      <x:c r="A10" s="26" t="str">
        <x:v>Apprenticeship completion</x:v>
      </x:c>
      <x:c r="B10" s="26" t="str">
        <x:v>Counterfactual apprenticeship entrants</x:v>
      </x:c>
      <x:c r="C10" s="925" t="n">
        <x:v>0.4</x:v>
      </x:c>
      <x:c r="D10" s="925" t="n">
        <x:v>0.01</x:v>
      </x:c>
      <x:c r="E10" s="925" t="n">
        <x:v>0.03</x:v>
      </x:c>
      <x:c r="F10" s="925" t="n">
        <x:v>0.06</x:v>
      </x:c>
      <x:c r="G10" s="925" t="n">
        <x:v>0.85</x:v>
      </x:c>
      <x:c r="H10" s="926" t="n">
        <x:v>8</x:v>
      </x:c>
      <x:c r="I10" s="926" t="n">
        <x:v>1</x:v>
      </x:c>
      <x:c r="J10" s="925" t="n">
        <x:v>0.5</x:v>
      </x:c>
      <x:c r="K10" s="925" t="n">
        <x:v>0.25</x:v>
      </x:c>
      <x:c r="L10" s="925" t="n">
        <x:v>0.1</x:v>
      </x:c>
      <x:c r="M10" s="925" t="n">
        <x:v>0.35</x:v>
      </x:c>
      <x:c r="N10" s="26" t="str">
        <x:v>S38</x:v>
      </x:c>
      <x:c r="O10" s="26" t="str">
        <x:v>Low</x:v>
      </x:c>
      <x:c r="P10" s="590" t="n">
        <x:f>Assumptions!$E$133*C9*D10*G10*J10*(1-K10)*(1-L10)*(1-M10)</x:f>
        <x:v>13.951278607499999</x:v>
      </x:c>
      <x:c r="Q10" s="590" t="n">
        <x:f>Assumptions!$E$133*C9*E10*G10*J10*(1-K10)*(1-L10)*(1-M10)</x:f>
        <x:v>41.853835822499995</x:v>
      </x:c>
      <x:c r="R10" s="590" t="n">
        <x:f>Assumptions!$E$133*C9*F10*G10*J10*(1-K10)*(1-L10)*(1-M10)</x:f>
        <x:v>83.70767164499999</x:v>
      </x:c>
      <x:c r="S10" s="26" t="str">
        <x:v>Mechanism only</x:v>
      </x:c>
      <x:c r="U10" s="1196"/>
      <x:c r="V10" s="1196"/>
      <x:c r="W10" s="1196"/>
      <x:c r="X10" s="1196"/>
    </x:row>
    <x:row r="11">
      <x:c r="A11" s="26" t="str">
        <x:v>Tertiary entry</x:v>
      </x:c>
      <x:c r="B11" s="26" t="str">
        <x:v>Annual entrant cohort</x:v>
      </x:c>
      <x:c r="C11" s="925" t="n">
        <x:v>0.45</x:v>
      </x:c>
      <x:c r="D11" s="925" t="n">
        <x:v>0.005</x:v>
      </x:c>
      <x:c r="E11" s="925" t="n">
        <x:v>0.015</x:v>
      </x:c>
      <x:c r="F11" s="925" t="n">
        <x:v>0.03</x:v>
      </x:c>
      <x:c r="G11" s="925" t="n">
        <x:v>0.8</x:v>
      </x:c>
      <x:c r="H11" s="926" t="n">
        <x:v>3</x:v>
      </x:c>
      <x:c r="I11" s="926" t="n">
        <x:v>1</x:v>
      </x:c>
      <x:c r="J11" s="925" t="n">
        <x:v>0.5</x:v>
      </x:c>
      <x:c r="K11" s="925" t="n">
        <x:v>0.25</x:v>
      </x:c>
      <x:c r="L11" s="925" t="n">
        <x:v>0.1</x:v>
      </x:c>
      <x:c r="M11" s="925" t="n">
        <x:v>0.35</x:v>
      </x:c>
      <x:c r="N11" s="26" t="str">
        <x:v>S39</x:v>
      </x:c>
      <x:c r="O11" s="26" t="str">
        <x:v>Low</x:v>
      </x:c>
      <x:c r="P11" s="590" t="n">
        <x:f>Assumptions!$E$133*D11*G11*J11*(1-K11)*(1-L11)*(1-M11)</x:f>
        <x:v>54.71089650000001</x:v>
      </x:c>
      <x:c r="Q11" s="590" t="n">
        <x:f>Assumptions!$E$133*E11*G11*J11*(1-K11)*(1-L11)*(1-M11)</x:f>
        <x:v>164.1326895</x:v>
      </x:c>
      <x:c r="R11" s="590" t="n">
        <x:f>Assumptions!$E$133*F11*G11*J11*(1-K11)*(1-L11)*(1-M11)</x:f>
        <x:v>328.265379</x:v>
      </x:c>
      <x:c r="S11" s="26" t="str">
        <x:v>Mechanism only</x:v>
      </x:c>
      <x:c r="U11" s="1196"/>
      <x:c r="V11" s="1196"/>
      <x:c r="W11" s="1196"/>
      <x:c r="X11" s="1196"/>
    </x:row>
    <x:row r="12">
      <x:c r="A12" s="26" t="str">
        <x:v>Tertiary qualification completion</x:v>
      </x:c>
      <x:c r="B12" s="26" t="str">
        <x:v>Counterfactual tertiary entrants</x:v>
      </x:c>
      <x:c r="C12" s="925" t="n">
        <x:v>0.6</x:v>
      </x:c>
      <x:c r="D12" s="925" t="n">
        <x:v>0.005</x:v>
      </x:c>
      <x:c r="E12" s="925" t="n">
        <x:v>0.015</x:v>
      </x:c>
      <x:c r="F12" s="925" t="n">
        <x:v>0.03</x:v>
      </x:c>
      <x:c r="G12" s="925" t="n">
        <x:v>0.85</x:v>
      </x:c>
      <x:c r="H12" s="926" t="n">
        <x:v>7</x:v>
      </x:c>
      <x:c r="I12" s="926" t="n">
        <x:v>1</x:v>
      </x:c>
      <x:c r="J12" s="925" t="n">
        <x:v>0.5</x:v>
      </x:c>
      <x:c r="K12" s="925" t="n">
        <x:v>0.25</x:v>
      </x:c>
      <x:c r="L12" s="925" t="n">
        <x:v>0.1</x:v>
      </x:c>
      <x:c r="M12" s="925" t="n">
        <x:v>0.35</x:v>
      </x:c>
      <x:c r="N12" s="26" t="str">
        <x:v>S40;S45</x:v>
      </x:c>
      <x:c r="O12" s="26" t="str">
        <x:v>Low</x:v>
      </x:c>
      <x:c r="P12" s="590" t="n">
        <x:f>Assumptions!$E$133*C11*D12*G12*J12*(1-K12)*(1-L12)*(1-M12)</x:f>
        <x:v>26.158647389062498</x:v>
      </x:c>
      <x:c r="Q12" s="590" t="n">
        <x:f>Assumptions!$E$133*C11*E12*G12*J12*(1-K12)*(1-L12)*(1-M12)</x:f>
        <x:v>78.47594216718751</x:v>
      </x:c>
      <x:c r="R12" s="590" t="n">
        <x:f>Assumptions!$E$133*C11*F12*G12*J12*(1-K12)*(1-L12)*(1-M12)</x:f>
        <x:v>156.95188433437502</x:v>
      </x:c>
      <x:c r="S12" s="26" t="str">
        <x:v>Mechanism only</x:v>
      </x:c>
      <x:c r="U12" s="1196"/>
      <x:c r="V12" s="1196"/>
      <x:c r="W12" s="1196"/>
      <x:c r="X12" s="1196"/>
    </x:row>
    <x:row r="13">
      <x:c r="A13" s="26" t="str">
        <x:v>Employment entry</x:v>
      </x:c>
      <x:c r="B13" s="26" t="str">
        <x:v>Counterfactual vocational and tertiary entrants</x:v>
      </x:c>
      <x:c r="C13" s="925" t="n">
        <x:v>0.8</x:v>
      </x:c>
      <x:c r="D13" s="925" t="n">
        <x:v>0.005</x:v>
      </x:c>
      <x:c r="E13" s="925" t="n">
        <x:v>0.01</x:v>
      </x:c>
      <x:c r="F13" s="925" t="n">
        <x:v>0.02</x:v>
      </x:c>
      <x:c r="G13" s="925" t="n">
        <x:v>0.85</x:v>
      </x:c>
      <x:c r="H13" s="926" t="n">
        <x:v>4</x:v>
      </x:c>
      <x:c r="I13" s="926" t="n">
        <x:v>1</x:v>
      </x:c>
      <x:c r="J13" s="925" t="n">
        <x:v>0.5</x:v>
      </x:c>
      <x:c r="K13" s="925" t="n">
        <x:v>0.2</x:v>
      </x:c>
      <x:c r="L13" s="925" t="n">
        <x:v>0.1</x:v>
      </x:c>
      <x:c r="M13" s="925" t="n">
        <x:v>0.35</x:v>
      </x:c>
      <x:c r="N13" s="26" t="str">
        <x:v>S39</x:v>
      </x:c>
      <x:c r="O13" s="26" t="str">
        <x:v>Low</x:v>
      </x:c>
      <x:c r="P13" s="590" t="n">
        <x:f>Assumptions!$E$133*(C9+C11)*D13*G13*J13*(1-K13)*(1-L13)*(1-M13)</x:f>
        <x:v>35.34323913900001</x:v>
      </x:c>
      <x:c r="Q13" s="590" t="n">
        <x:f>Assumptions!$E$133*(C9+C11)*E13*G13*J13*(1-K13)*(1-L13)*(1-M13)</x:f>
        <x:v>70.68647827800002</x:v>
      </x:c>
      <x:c r="R13" s="590" t="n">
        <x:f>Assumptions!$E$133*(C9+C11)*F13*G13*J13*(1-K13)*(1-L13)*(1-M13)</x:f>
        <x:v>141.37295655600005</x:v>
      </x:c>
      <x:c r="S13" s="26" t="str">
        <x:v>Mechanism only</x:v>
      </x:c>
      <x:c r="U13" s="1196"/>
      <x:c r="V13" s="1196"/>
      <x:c r="W13" s="1196"/>
      <x:c r="X13" s="1196"/>
    </x:row>
    <x:row r="14">
      <x:c r="A14" s="26" t="str">
        <x:v>Employment continuity</x:v>
      </x:c>
      <x:c r="B14" s="26" t="str">
        <x:v>Counterfactual employed entrants</x:v>
      </x:c>
      <x:c r="C14" s="925" t="n">
        <x:v>0.85</x:v>
      </x:c>
      <x:c r="D14" s="925" t="n">
        <x:v>0.005</x:v>
      </x:c>
      <x:c r="E14" s="925" t="n">
        <x:v>0.01</x:v>
      </x:c>
      <x:c r="F14" s="925" t="n">
        <x:v>0.02</x:v>
      </x:c>
      <x:c r="G14" s="925" t="n">
        <x:v>0.85</x:v>
      </x:c>
      <x:c r="H14" s="926" t="n">
        <x:v>6</x:v>
      </x:c>
      <x:c r="I14" s="926" t="n">
        <x:v>3</x:v>
      </x:c>
      <x:c r="J14" s="925" t="n">
        <x:v>0.5</x:v>
      </x:c>
      <x:c r="K14" s="925" t="n">
        <x:v>0.2</x:v>
      </x:c>
      <x:c r="L14" s="925" t="n">
        <x:v>0.1</x:v>
      </x:c>
      <x:c r="M14" s="925" t="n">
        <x:v>0.35</x:v>
      </x:c>
      <x:c r="N14" s="26" t="str">
        <x:v>S39;S41</x:v>
      </x:c>
      <x:c r="O14" s="26" t="str">
        <x:v>Low</x:v>
      </x:c>
      <x:c r="P14" s="590" t="n">
        <x:f>Assumptions!$E$133*(C9+C11)*C13*D14*G14*J14*(1-K14)*(1-L14)*(1-M14)</x:f>
        <x:v>28.274591311200012</x:v>
      </x:c>
      <x:c r="Q14" s="590" t="n">
        <x:f>Assumptions!$E$133*(C9+C11)*C13*E14*G14*J14*(1-K14)*(1-L14)*(1-M14)</x:f>
        <x:v>56.549182622400025</x:v>
      </x:c>
      <x:c r="R14" s="590" t="n">
        <x:f>Assumptions!$E$133*(C9+C11)*C13*F14*G14*J14*(1-K14)*(1-L14)*(1-M14)</x:f>
        <x:v>113.09836524480005</x:v>
      </x:c>
      <x:c r="S14" s="26" t="str">
        <x:v>Mechanism only</x:v>
      </x:c>
      <x:c r="U14" s="1196"/>
      <x:c r="V14" s="1196"/>
      <x:c r="W14" s="1196"/>
      <x:c r="X14" s="1196"/>
    </x:row>
    <x:row r="15">
      <x:c r="A15" s="26"/>
      <x:c r="B15" s="26"/>
      <x:c r="C15" s="26"/>
      <x:c r="D15" s="26"/>
      <x:c r="E15" s="26"/>
      <x:c r="F15" s="26"/>
      <x:c r="G15" s="26"/>
      <x:c r="H15" s="26"/>
      <x:c r="I15" s="26"/>
      <x:c r="J15" s="26"/>
      <x:c r="K15" s="26"/>
      <x:c r="L15" s="26"/>
      <x:c r="M15" s="26"/>
      <x:c r="N15" s="26"/>
      <x:c r="O15" s="26"/>
      <x:c r="P15" s="26"/>
      <x:c r="Q15" s="26"/>
      <x:c r="R15" s="26"/>
      <x:c r="S15" s="26"/>
      <x:c r="U15" s="1196"/>
      <x:c r="V15" s="1196"/>
      <x:c r="W15" s="1196"/>
      <x:c r="X15" s="1196"/>
    </x:row>
    <x:row r="16">
      <x:c r="A16" s="26"/>
      <x:c r="B16" s="26"/>
      <x:c r="C16" s="26"/>
      <x:c r="D16" s="26"/>
      <x:c r="E16" s="26"/>
      <x:c r="F16" s="26"/>
      <x:c r="G16" s="26"/>
      <x:c r="H16" s="26"/>
      <x:c r="I16" s="26"/>
      <x:c r="J16" s="26"/>
      <x:c r="K16" s="26"/>
      <x:c r="L16" s="26"/>
      <x:c r="M16" s="26"/>
      <x:c r="N16" s="26"/>
      <x:c r="O16" s="26"/>
      <x:c r="P16" s="26"/>
      <x:c r="Q16" s="26"/>
      <x:c r="R16" s="26"/>
      <x:c r="S16" s="26"/>
      <x:c r="U16" s="1196"/>
      <x:c r="V16" s="1196"/>
      <x:c r="W16" s="1196"/>
      <x:c r="X16" s="1196"/>
    </x:row>
    <x:row r="17" ht="23" customHeight="1">
      <x:c r="A17" s="905" t="str">
        <x:v>Observed qualification earnings context — association only, not a programme benefit</x:v>
      </x:c>
      <x:c r="B17" s="905"/>
      <x:c r="C17" s="905"/>
      <x:c r="D17" s="905"/>
      <x:c r="E17" s="905"/>
      <x:c r="F17" s="905"/>
      <x:c r="G17" s="905"/>
      <x:c r="H17" s="905"/>
      <x:c r="I17" s="905"/>
      <x:c r="J17" s="905"/>
      <x:c r="K17" s="905"/>
      <x:c r="L17" s="905"/>
      <x:c r="M17" s="905"/>
      <x:c r="N17" s="905"/>
      <x:c r="O17" s="905"/>
      <x:c r="P17" s="905"/>
      <x:c r="Q17" s="905"/>
      <x:c r="R17" s="905"/>
      <x:c r="S17" s="905"/>
      <x:c r="U17" s="1196"/>
      <x:c r="V17" s="1196"/>
      <x:c r="W17" s="1196"/>
      <x:c r="X17" s="1196"/>
    </x:row>
    <x:row r="18" ht="30" customHeight="1">
      <x:c r="A18" s="909" t="str">
        <x:v>Age group</x:v>
      </x:c>
      <x:c r="B18" s="909" t="str">
        <x:v>No qualification</x:v>
      </x:c>
      <x:c r="C18" s="909" t="str">
        <x:v>School qualification</x:v>
      </x:c>
      <x:c r="D18" s="909" t="str">
        <x:v>Level 4–6 certificate / diploma</x:v>
      </x:c>
      <x:c r="E18" s="909" t="str">
        <x:v>Bachelor's or higher</x:v>
      </x:c>
      <x:c r="F18" s="909" t="str">
        <x:v>Source ID</x:v>
      </x:c>
      <x:c r="G18" s="26"/>
      <x:c r="H18" s="26"/>
      <x:c r="I18" s="26"/>
      <x:c r="J18" s="26"/>
      <x:c r="K18" s="26"/>
      <x:c r="L18" s="26"/>
      <x:c r="M18" s="26"/>
      <x:c r="N18" s="26"/>
      <x:c r="O18" s="26"/>
      <x:c r="P18" s="26"/>
      <x:c r="Q18" s="26"/>
      <x:c r="R18" s="26"/>
      <x:c r="S18" s="26"/>
      <x:c r="U18" s="1196"/>
      <x:c r="V18" s="1196"/>
      <x:c r="W18" s="1196"/>
      <x:c r="X18" s="1196"/>
    </x:row>
    <x:row r="19">
      <x:c r="A19" s="26" t="str">
        <x:v>25–34</x:v>
      </x:c>
      <x:c r="B19" s="961" t="n">
        <x:v>30.12</x:v>
      </x:c>
      <x:c r="C19" s="961" t="n">
        <x:v>31</x:v>
      </x:c>
      <x:c r="D19" s="961" t="n">
        <x:v>34.52</x:v>
      </x:c>
      <x:c r="E19" s="961" t="n">
        <x:v>38.84</x:v>
      </x:c>
      <x:c r="F19" s="26" t="str">
        <x:v>S34</x:v>
      </x:c>
      <x:c r="G19" s="26"/>
      <x:c r="H19" s="26"/>
      <x:c r="I19" s="26"/>
      <x:c r="J19" s="26"/>
      <x:c r="K19" s="26"/>
      <x:c r="L19" s="26"/>
      <x:c r="M19" s="26"/>
      <x:c r="N19" s="26"/>
      <x:c r="O19" s="26"/>
      <x:c r="P19" s="26"/>
      <x:c r="Q19" s="26"/>
      <x:c r="R19" s="26"/>
      <x:c r="S19" s="26"/>
      <x:c r="U19" s="1196"/>
      <x:c r="V19" s="1196"/>
      <x:c r="W19" s="1196"/>
      <x:c r="X19" s="1196"/>
    </x:row>
    <x:row r="20">
      <x:c r="A20" s="26" t="str">
        <x:v>35–44</x:v>
      </x:c>
      <x:c r="B20" s="961" t="n">
        <x:v>30</x:v>
      </x:c>
      <x:c r="C20" s="961" t="n">
        <x:v>33</x:v>
      </x:c>
      <x:c r="D20" s="961" t="n">
        <x:v>36</x:v>
      </x:c>
      <x:c r="E20" s="961" t="n">
        <x:v>47.95</x:v>
      </x:c>
      <x:c r="F20" s="26" t="str">
        <x:v>S34</x:v>
      </x:c>
      <x:c r="G20" s="26"/>
      <x:c r="H20" s="26"/>
      <x:c r="I20" s="26"/>
      <x:c r="J20" s="26"/>
      <x:c r="K20" s="26"/>
      <x:c r="L20" s="26"/>
      <x:c r="M20" s="26"/>
      <x:c r="N20" s="26"/>
      <x:c r="O20" s="26"/>
      <x:c r="P20" s="26"/>
      <x:c r="Q20" s="26"/>
      <x:c r="R20" s="26"/>
      <x:c r="S20" s="26"/>
      <x:c r="U20" s="1196"/>
      <x:c r="V20" s="1196"/>
      <x:c r="W20" s="1196"/>
      <x:c r="X20" s="1196"/>
    </x:row>
    <x:row r="21">
      <x:c r="A21" s="26" t="str">
        <x:v>45–54</x:v>
      </x:c>
      <x:c r="B21" s="961" t="n">
        <x:v>31.85</x:v>
      </x:c>
      <x:c r="C21" s="961" t="n">
        <x:v>33.95</x:v>
      </x:c>
      <x:c r="D21" s="961" t="n">
        <x:v>38</x:v>
      </x:c>
      <x:c r="E21" s="961" t="n">
        <x:v>48.9</x:v>
      </x:c>
      <x:c r="F21" s="26" t="str">
        <x:v>S34</x:v>
      </x:c>
      <x:c r="G21" s="26"/>
      <x:c r="H21" s="26"/>
      <x:c r="I21" s="26"/>
      <x:c r="J21" s="26"/>
      <x:c r="K21" s="26"/>
      <x:c r="L21" s="26"/>
      <x:c r="M21" s="26"/>
      <x:c r="N21" s="26"/>
      <x:c r="O21" s="26"/>
      <x:c r="P21" s="26"/>
      <x:c r="Q21" s="26"/>
      <x:c r="R21" s="26"/>
      <x:c r="S21" s="26"/>
      <x:c r="U21" s="1196"/>
      <x:c r="V21" s="1196"/>
      <x:c r="W21" s="1196"/>
      <x:c r="X21" s="1196"/>
    </x:row>
    <x:row r="22">
      <x:c r="A22" s="26" t="str">
        <x:v>55–64</x:v>
      </x:c>
      <x:c r="B22" s="961" t="n">
        <x:v>30</x:v>
      </x:c>
      <x:c r="C22" s="961" t="n">
        <x:v>34.1</x:v>
      </x:c>
      <x:c r="D22" s="961" t="n">
        <x:v>38</x:v>
      </x:c>
      <x:c r="E22" s="961" t="n">
        <x:v>47.95</x:v>
      </x:c>
      <x:c r="F22" s="26" t="str">
        <x:v>S34</x:v>
      </x:c>
      <x:c r="G22" s="26"/>
      <x:c r="H22" s="26"/>
      <x:c r="I22" s="26"/>
      <x:c r="J22" s="26"/>
      <x:c r="K22" s="26"/>
      <x:c r="L22" s="26"/>
      <x:c r="M22" s="26"/>
      <x:c r="N22" s="26"/>
      <x:c r="O22" s="26"/>
      <x:c r="P22" s="26"/>
      <x:c r="Q22" s="26"/>
      <x:c r="R22" s="26"/>
      <x:c r="S22" s="26"/>
      <x:c r="U22" s="1196"/>
      <x:c r="V22" s="1196"/>
      <x:c r="W22" s="1196"/>
      <x:c r="X22" s="1196"/>
    </x:row>
    <x:row r="23">
      <x:c r="A23" s="931" t="str">
        <x:v>Qualification differentials help explain the mechanism, but the central model does not add qualification premiums on top of the whole-cohort earnings uplift. Attendance, attainment, transition and completion are measured causal pathways; the broad earnings module is the monetised social channel.</x:v>
      </x:c>
      <x:c r="B23" s="931"/>
      <x:c r="C23" s="931"/>
      <x:c r="D23" s="931"/>
      <x:c r="E23" s="931"/>
      <x:c r="F23" s="931"/>
      <x:c r="G23" s="26"/>
      <x:c r="H23" s="26"/>
      <x:c r="I23" s="26"/>
      <x:c r="J23" s="26"/>
      <x:c r="K23" s="26"/>
      <x:c r="L23" s="26"/>
      <x:c r="M23" s="26"/>
      <x:c r="N23" s="26"/>
      <x:c r="O23" s="26"/>
      <x:c r="P23" s="26"/>
      <x:c r="Q23" s="26"/>
      <x:c r="R23" s="26"/>
      <x:c r="S23" s="26"/>
      <x:c r="U23" s="1196"/>
      <x:c r="V23" s="1196"/>
      <x:c r="W23" s="1196"/>
      <x:c r="X23" s="1196"/>
    </x:row>
    <x:row r="24">
      <x:c r="A24" s="931"/>
      <x:c r="B24" s="931"/>
      <x:c r="C24" s="931"/>
      <x:c r="D24" s="931"/>
      <x:c r="E24" s="931"/>
      <x:c r="F24" s="931"/>
      <x:c r="G24" s="26"/>
      <x:c r="H24" s="26"/>
      <x:c r="I24" s="26"/>
      <x:c r="J24" s="26"/>
      <x:c r="K24" s="26"/>
      <x:c r="L24" s="26"/>
      <x:c r="M24" s="26"/>
      <x:c r="N24" s="26"/>
      <x:c r="O24" s="26"/>
      <x:c r="P24" s="26"/>
      <x:c r="Q24" s="26"/>
      <x:c r="R24" s="26"/>
      <x:c r="S24" s="26"/>
      <x:c r="U24" s="1196"/>
      <x:c r="V24" s="1196"/>
      <x:c r="W24" s="1196"/>
      <x:c r="X24" s="1196"/>
    </x:row>
    <x:row r="25">
      <x:c r="A25" s="26"/>
      <x:c r="B25" s="26"/>
      <x:c r="C25" s="26"/>
      <x:c r="D25" s="26"/>
      <x:c r="E25" s="26"/>
      <x:c r="F25" s="26"/>
      <x:c r="G25" s="26"/>
      <x:c r="H25" s="26"/>
      <x:c r="I25" s="26"/>
      <x:c r="J25" s="26"/>
      <x:c r="K25" s="26"/>
      <x:c r="L25" s="26"/>
      <x:c r="M25" s="26"/>
      <x:c r="N25" s="26"/>
      <x:c r="O25" s="26"/>
      <x:c r="P25" s="26"/>
      <x:c r="Q25" s="26"/>
      <x:c r="R25" s="26"/>
      <x:c r="S25" s="26"/>
      <x:c r="U25" s="1196"/>
      <x:c r="V25" s="1196"/>
      <x:c r="W25" s="1196"/>
      <x:c r="X25" s="1196"/>
    </x:row>
    <x:row r="26">
      <x:c r="A26" s="26"/>
      <x:c r="B26" s="26"/>
      <x:c r="C26" s="26"/>
      <x:c r="D26" s="26"/>
      <x:c r="E26" s="26"/>
      <x:c r="F26" s="26"/>
      <x:c r="G26" s="26"/>
      <x:c r="H26" s="26"/>
      <x:c r="I26" s="26"/>
      <x:c r="J26" s="26"/>
      <x:c r="K26" s="26"/>
      <x:c r="L26" s="26"/>
      <x:c r="M26" s="26"/>
      <x:c r="N26" s="26"/>
      <x:c r="O26" s="26"/>
      <x:c r="P26" s="26"/>
      <x:c r="Q26" s="26"/>
      <x:c r="R26" s="26"/>
      <x:c r="S26" s="26"/>
      <x:c r="U26" s="1196"/>
      <x:c r="V26" s="1196"/>
      <x:c r="W26" s="1196"/>
      <x:c r="X26" s="1196"/>
    </x:row>
    <x:row r="27" ht="23" customHeight="1">
      <x:c r="A27" s="905" t="str">
        <x:v>Whole-cohort earnings population and overlap controls</x:v>
      </x:c>
      <x:c r="B27" s="905"/>
      <x:c r="C27" s="905"/>
      <x:c r="D27" s="905"/>
      <x:c r="E27" s="905"/>
      <x:c r="F27" s="905"/>
      <x:c r="G27" s="905"/>
      <x:c r="H27" s="905"/>
      <x:c r="I27" s="905"/>
      <x:c r="J27" s="905"/>
      <x:c r="K27" s="905"/>
      <x:c r="L27" s="905"/>
      <x:c r="M27" s="905"/>
      <x:c r="N27" s="905"/>
      <x:c r="O27" s="905"/>
      <x:c r="P27" s="905"/>
      <x:c r="Q27" s="905"/>
      <x:c r="R27" s="905"/>
      <x:c r="S27" s="905"/>
      <x:c r="U27" s="1196"/>
      <x:c r="V27" s="1196"/>
      <x:c r="W27" s="1196"/>
      <x:c r="X27" s="1196"/>
    </x:row>
    <x:row r="28" ht="30" customHeight="1">
      <x:c r="A28" s="909" t="str">
        <x:v>Control</x:v>
      </x:c>
      <x:c r="B28" s="909" t="str">
        <x:v>Central value</x:v>
      </x:c>
      <x:c r="C28" s="909" t="str">
        <x:v>Unit</x:v>
      </x:c>
      <x:c r="D28" s="909" t="str">
        <x:v>Treatment</x:v>
      </x:c>
      <x:c r="E28" s="26"/>
      <x:c r="F28" s="26"/>
      <x:c r="G28" s="26"/>
      <x:c r="H28" s="26"/>
      <x:c r="I28" s="26"/>
      <x:c r="J28" s="26"/>
      <x:c r="K28" s="26"/>
      <x:c r="L28" s="26"/>
      <x:c r="M28" s="26"/>
      <x:c r="N28" s="26"/>
      <x:c r="O28" s="26"/>
      <x:c r="P28" s="26"/>
      <x:c r="Q28" s="26"/>
      <x:c r="R28" s="26"/>
      <x:c r="S28" s="26"/>
      <x:c r="U28" s="1196"/>
      <x:c r="V28" s="1196"/>
      <x:c r="W28" s="1196"/>
      <x:c r="X28" s="1196"/>
    </x:row>
    <x:row r="29">
      <x:c r="A29" s="26" t="str">
        <x:v>Annual entrant / exit cohort</x:v>
      </x:c>
      <x:c r="B29" s="932" t="n">
        <x:f>Assumptions!$E$133</x:f>
        <x:v>62348.6</x:v>
      </x:c>
      <x:c r="C29" s="26" t="str">
        <x:v>people</x:v>
      </x:c>
      <x:c r="D29" s="26" t="str">
        <x:v>Aligned with one mature annual programme cost.</x:v>
      </x:c>
      <x:c r="E29" s="26"/>
      <x:c r="F29" s="26"/>
      <x:c r="G29" s="26"/>
      <x:c r="H29" s="26"/>
      <x:c r="I29" s="26"/>
      <x:c r="J29" s="26"/>
      <x:c r="K29" s="26"/>
      <x:c r="L29" s="26"/>
      <x:c r="M29" s="26"/>
      <x:c r="N29" s="26"/>
      <x:c r="O29" s="26"/>
      <x:c r="P29" s="26"/>
      <x:c r="Q29" s="26"/>
      <x:c r="R29" s="26"/>
      <x:c r="S29" s="26"/>
      <x:c r="U29" s="1196"/>
      <x:c r="V29" s="1196"/>
      <x:c r="W29" s="1196"/>
      <x:c r="X29" s="1196"/>
    </x:row>
    <x:row r="30">
      <x:c r="A30" s="26" t="str">
        <x:v>Averted sustained NEET cases</x:v>
      </x:c>
      <x:c r="B30" s="932" t="n">
        <x:f>'Benefits &amp; BCR'!$C$18</x:f>
        <x:v>1402.8434999999997</x:v>
      </x:c>
      <x:c r="C30" s="26" t="str">
        <x:v>people</x:v>
      </x:c>
      <x:c r="D30" s="26" t="str">
        <x:v>Excluded from the broad earnings population to avoid overlap with Pacheco and Dye.</x:v>
      </x:c>
      <x:c r="E30" s="26"/>
      <x:c r="F30" s="26"/>
      <x:c r="G30" s="26"/>
      <x:c r="H30" s="26"/>
      <x:c r="I30" s="26"/>
      <x:c r="J30" s="26"/>
      <x:c r="K30" s="26"/>
      <x:c r="L30" s="26"/>
      <x:c r="M30" s="26"/>
      <x:c r="N30" s="26"/>
      <x:c r="O30" s="26"/>
      <x:c r="P30" s="26"/>
      <x:c r="Q30" s="26"/>
      <x:c r="R30" s="26"/>
      <x:c r="S30" s="26"/>
      <x:c r="U30" s="1196"/>
      <x:c r="V30" s="1196"/>
      <x:c r="W30" s="1196"/>
      <x:c r="X30" s="1196"/>
    </x:row>
    <x:row r="31">
      <x:c r="A31" s="26" t="str">
        <x:v>Broad non-overlap population</x:v>
      </x:c>
      <x:c r="B31" s="932" t="n">
        <x:f>MAX(0,B29-B30)</x:f>
        <x:v>60945.756499999996</x:v>
      </x:c>
      <x:c r="C31" s="26" t="str">
        <x:v>people</x:v>
      </x:c>
      <x:c r="D31" s="26" t="str">
        <x:v>Annual cohort less modelled averted sustained NEET cases.</x:v>
      </x:c>
      <x:c r="E31" s="26"/>
      <x:c r="F31" s="26"/>
      <x:c r="G31" s="26"/>
      <x:c r="H31" s="26"/>
      <x:c r="I31" s="26"/>
      <x:c r="J31" s="26"/>
      <x:c r="K31" s="26"/>
      <x:c r="L31" s="26"/>
      <x:c r="M31" s="26"/>
      <x:c r="N31" s="26"/>
      <x:c r="O31" s="26"/>
      <x:c r="P31" s="26"/>
      <x:c r="Q31" s="26"/>
      <x:c r="R31" s="26"/>
      <x:c r="S31" s="26"/>
      <x:c r="U31" s="1196"/>
      <x:c r="V31" s="1196"/>
      <x:c r="W31" s="1196"/>
      <x:c r="X31" s="1196"/>
    </x:row>
    <x:row r="32">
      <x:c r="A32" s="26" t="str">
        <x:v>Participants affected by earnings uplift</x:v>
      </x:c>
      <x:c r="B32" s="276" t="n">
        <x:f>Assumptions!$E$134</x:f>
        <x:v>0.5</x:v>
      </x:c>
      <x:c r="C32" s="26" t="str">
        <x:v>%</x:v>
      </x:c>
      <x:c r="D32" s="26" t="str">
        <x:v>Not every participant is assumed to benefit.</x:v>
      </x:c>
      <x:c r="E32" s="26"/>
      <x:c r="F32" s="26"/>
      <x:c r="G32" s="26"/>
      <x:c r="H32" s="26"/>
      <x:c r="I32" s="26"/>
      <x:c r="J32" s="26"/>
      <x:c r="K32" s="26"/>
      <x:c r="L32" s="26"/>
      <x:c r="M32" s="26"/>
      <x:c r="N32" s="26"/>
      <x:c r="O32" s="26"/>
      <x:c r="P32" s="26"/>
      <x:c r="Q32" s="26"/>
      <x:c r="R32" s="26"/>
      <x:c r="S32" s="26"/>
      <x:c r="U32" s="1196"/>
      <x:c r="V32" s="1196"/>
      <x:c r="W32" s="1196"/>
      <x:c r="X32" s="1196"/>
    </x:row>
    <x:row r="33">
      <x:c r="A33" s="26" t="str">
        <x:v>Domestic retention</x:v>
      </x:c>
      <x:c r="B33" s="276" t="n">
        <x:f>Assumptions!$E$141</x:f>
        <x:v>0.9</x:v>
      </x:c>
      <x:c r="C33" s="26" t="str">
        <x:v>%</x:v>
      </x:c>
      <x:c r="D33" s="26" t="str">
        <x:v>Reduces the domestic economic and tax-base effect.</x:v>
      </x:c>
      <x:c r="E33" s="26"/>
      <x:c r="F33" s="26"/>
      <x:c r="G33" s="26"/>
      <x:c r="H33" s="26"/>
      <x:c r="I33" s="26"/>
      <x:c r="J33" s="26"/>
      <x:c r="K33" s="26"/>
      <x:c r="L33" s="26"/>
      <x:c r="M33" s="26"/>
      <x:c r="N33" s="26"/>
      <x:c r="O33" s="26"/>
      <x:c r="P33" s="26"/>
      <x:c r="Q33" s="26"/>
      <x:c r="R33" s="26"/>
      <x:c r="S33" s="26"/>
      <x:c r="U33" s="1196"/>
      <x:c r="V33" s="1196"/>
      <x:c r="W33" s="1196"/>
      <x:c r="X33" s="1196"/>
    </x:row>
    <x:row r="34">
      <x:c r="A34" s="26" t="str">
        <x:v>Programme attribution</x:v>
      </x:c>
      <x:c r="B34" s="276" t="n">
        <x:f>Assumptions!$E$142</x:f>
        <x:v>0.6</x:v>
      </x:c>
      <x:c r="C34" s="26" t="str">
        <x:v>%</x:v>
      </x:c>
      <x:c r="D34" s="26" t="str">
        <x:v>Causal effect must be established by the pilot.</x:v>
      </x:c>
      <x:c r="E34" s="26"/>
      <x:c r="F34" s="26"/>
      <x:c r="G34" s="26"/>
      <x:c r="H34" s="26"/>
      <x:c r="I34" s="26"/>
      <x:c r="J34" s="26"/>
      <x:c r="K34" s="26"/>
      <x:c r="L34" s="26"/>
      <x:c r="M34" s="26"/>
      <x:c r="N34" s="26"/>
      <x:c r="O34" s="26"/>
      <x:c r="P34" s="26"/>
      <x:c r="Q34" s="26"/>
      <x:c r="R34" s="26"/>
      <x:c r="S34" s="26"/>
      <x:c r="U34" s="1196"/>
      <x:c r="V34" s="1196"/>
      <x:c r="W34" s="1196"/>
      <x:c r="X34" s="1196"/>
    </x:row>
    <x:row r="35">
      <x:c r="A35" s="26" t="str">
        <x:v>Persistence / fade-out</x:v>
      </x:c>
      <x:c r="B35" s="276" t="n">
        <x:f>Assumptions!$E$143</x:f>
        <x:v>0.8</x:v>
      </x:c>
      <x:c r="C35" s="26" t="str">
        <x:v>%</x:v>
      </x:c>
      <x:c r="D35" s="26" t="str">
        <x:v>Long-run effect is haircut for fade-out.</x:v>
      </x:c>
      <x:c r="E35" s="26"/>
      <x:c r="F35" s="26"/>
      <x:c r="G35" s="26"/>
      <x:c r="H35" s="26"/>
      <x:c r="I35" s="26"/>
      <x:c r="J35" s="26"/>
      <x:c r="K35" s="26"/>
      <x:c r="L35" s="26"/>
      <x:c r="M35" s="26"/>
      <x:c r="N35" s="26"/>
      <x:c r="O35" s="26"/>
      <x:c r="P35" s="26"/>
      <x:c r="Q35" s="26"/>
      <x:c r="R35" s="26"/>
      <x:c r="S35" s="26"/>
      <x:c r="U35" s="1196"/>
      <x:c r="V35" s="1196"/>
      <x:c r="W35" s="1196"/>
      <x:c r="X35" s="1196"/>
    </x:row>
    <x:row r="36">
      <x:c r="A36" s="26" t="str">
        <x:v>Deadweight</x:v>
      </x:c>
      <x:c r="B36" s="276" t="n">
        <x:f>Assumptions!$E$144</x:f>
        <x:v>0.15</x:v>
      </x:c>
      <x:c r="C36" s="26" t="str">
        <x:v>%</x:v>
      </x:c>
      <x:c r="D36" s="26" t="str">
        <x:v>Removes outcomes that occur without the programme.</x:v>
      </x:c>
      <x:c r="E36" s="26"/>
      <x:c r="F36" s="26"/>
      <x:c r="G36" s="26"/>
      <x:c r="H36" s="26"/>
      <x:c r="I36" s="26"/>
      <x:c r="J36" s="26"/>
      <x:c r="K36" s="26"/>
      <x:c r="L36" s="26"/>
      <x:c r="M36" s="26"/>
      <x:c r="N36" s="26"/>
      <x:c r="O36" s="26"/>
      <x:c r="P36" s="26"/>
      <x:c r="Q36" s="26"/>
      <x:c r="R36" s="26"/>
      <x:c r="S36" s="26"/>
      <x:c r="U36" s="1196"/>
      <x:c r="V36" s="1196"/>
      <x:c r="W36" s="1196"/>
      <x:c r="X36" s="1196"/>
    </x:row>
    <x:row r="37">
      <x:c r="A37" s="26" t="str">
        <x:v>Worker displacement</x:v>
      </x:c>
      <x:c r="B37" s="276" t="n">
        <x:f>Assumptions!$E$145</x:f>
        <x:v>0.05</x:v>
      </x:c>
      <x:c r="C37" s="26" t="str">
        <x:v>%</x:v>
      </x:c>
      <x:c r="D37" s="26" t="str">
        <x:v>Removes substitution of non-programme workers.</x:v>
      </x:c>
      <x:c r="E37" s="26"/>
      <x:c r="F37" s="26"/>
      <x:c r="G37" s="26"/>
      <x:c r="H37" s="26"/>
      <x:c r="I37" s="26"/>
      <x:c r="J37" s="26"/>
      <x:c r="K37" s="26"/>
      <x:c r="L37" s="26"/>
      <x:c r="M37" s="26"/>
      <x:c r="N37" s="26"/>
      <x:c r="O37" s="26"/>
      <x:c r="P37" s="26"/>
      <x:c r="Q37" s="26"/>
      <x:c r="R37" s="26"/>
      <x:c r="S37" s="26"/>
      <x:c r="U37" s="1196"/>
      <x:c r="V37" s="1196"/>
      <x:c r="W37" s="1196"/>
      <x:c r="X37" s="1196"/>
    </x:row>
    <x:row r="38">
      <x:c r="A38" s="26" t="str">
        <x:v>General-equilibrium haircut</x:v>
      </x:c>
      <x:c r="B38" s="276" t="n">
        <x:f>Assumptions!$E$146</x:f>
        <x:v>0.05</x:v>
      </x:c>
      <x:c r="C38" s="26" t="str">
        <x:v>%</x:v>
      </x:c>
      <x:c r="D38" s="26" t="str">
        <x:v>Occupation supply, wage, automation and capacity risks.</x:v>
      </x:c>
      <x:c r="E38" s="26"/>
      <x:c r="F38" s="26"/>
      <x:c r="G38" s="26"/>
      <x:c r="H38" s="26"/>
      <x:c r="I38" s="26"/>
      <x:c r="J38" s="26"/>
      <x:c r="K38" s="26"/>
      <x:c r="L38" s="26"/>
      <x:c r="M38" s="26"/>
      <x:c r="N38" s="26"/>
      <x:c r="O38" s="26"/>
      <x:c r="P38" s="26"/>
      <x:c r="Q38" s="26"/>
      <x:c r="R38" s="26"/>
      <x:c r="S38" s="26"/>
      <x:c r="U38" s="1196"/>
      <x:c r="V38" s="1196"/>
      <x:c r="W38" s="1196"/>
      <x:c r="X38" s="1196"/>
    </x:row>
    <x:row r="39">
      <x:c r="A39" s="1101" t="str">
        <x:v>Adjusted affected participants before employment</x:v>
      </x:c>
      <x:c r="B39" s="1119" t="n">
        <x:f>B31*B32*B33*B34*B35*(1-B36)*(1-B37)*(1-B38)</x:f>
        <x:v>10098.650906293498</x:v>
      </x:c>
      <x:c r="C39" s="1101" t="str">
        <x:v>people</x:v>
      </x:c>
      <x:c r="D39" s="1101" t="str">
        <x:v>Broad cohort after affected share, domestic retention, attribution, persistence, deadweight, displacement and general-equilibrium adjustments.</x:v>
      </x:c>
      <x:c r="E39" s="26"/>
      <x:c r="F39" s="26"/>
      <x:c r="G39" s="26"/>
      <x:c r="H39" s="26"/>
      <x:c r="I39" s="26"/>
      <x:c r="J39" s="26"/>
      <x:c r="K39" s="26"/>
      <x:c r="L39" s="26"/>
      <x:c r="M39" s="26"/>
      <x:c r="N39" s="26"/>
      <x:c r="O39" s="26"/>
      <x:c r="P39" s="26"/>
      <x:c r="Q39" s="26"/>
      <x:c r="R39" s="26"/>
      <x:c r="S39" s="26"/>
      <x:c r="U39" s="1196"/>
      <x:c r="V39" s="1196"/>
      <x:c r="W39" s="1196"/>
      <x:c r="X39" s="1196"/>
    </x:row>
    <x:row r="40">
      <x:c r="A40" s="1101" t="str">
        <x:v>Employment probability</x:v>
      </x:c>
      <x:c r="B40" s="1118" t="n">
        <x:f>Assumptions!$E$137</x:f>
        <x:v>0.85</x:v>
      </x:c>
      <x:c r="C40" s="1101" t="str">
        <x:v>%</x:v>
      </x:c>
      <x:c r="D40" s="1101" t="str">
        <x:v>Applied after the other population adjustments.</x:v>
      </x:c>
      <x:c r="E40" s="26"/>
      <x:c r="F40" s="26"/>
      <x:c r="G40" s="26"/>
      <x:c r="H40" s="26"/>
      <x:c r="I40" s="26"/>
      <x:c r="J40" s="26"/>
      <x:c r="K40" s="26"/>
      <x:c r="L40" s="26"/>
      <x:c r="M40" s="26"/>
      <x:c r="N40" s="26"/>
      <x:c r="O40" s="26"/>
      <x:c r="P40" s="26"/>
      <x:c r="Q40" s="26"/>
      <x:c r="R40" s="26"/>
      <x:c r="S40" s="26"/>
      <x:c r="U40" s="1196"/>
      <x:c r="V40" s="1196"/>
      <x:c r="W40" s="1196"/>
      <x:c r="X40" s="1196"/>
    </x:row>
    <x:row r="41">
      <x:c r="A41" s="1101" t="str">
        <x:v>Effective affected employed population</x:v>
      </x:c>
      <x:c r="B41" s="1119" t="n">
        <x:f>B39*B40</x:f>
        <x:v>8583.853270349473</x:v>
      </x:c>
      <x:c r="C41" s="1101" t="str">
        <x:v>people</x:v>
      </x:c>
      <x:c r="D41" s="1101" t="str">
        <x:v>Population to which the modelled affected-population earnings uplift is applied.</x:v>
      </x:c>
      <x:c r="E41" s="26"/>
      <x:c r="F41" s="26"/>
      <x:c r="G41" s="26"/>
      <x:c r="H41" s="26"/>
      <x:c r="I41" s="26"/>
      <x:c r="J41" s="26"/>
      <x:c r="K41" s="26"/>
      <x:c r="L41" s="26"/>
      <x:c r="M41" s="26"/>
      <x:c r="N41" s="26"/>
      <x:c r="O41" s="26"/>
      <x:c r="P41" s="26"/>
      <x:c r="Q41" s="26"/>
      <x:c r="R41" s="26"/>
      <x:c r="S41" s="26"/>
      <x:c r="U41" s="1196"/>
      <x:c r="V41" s="1196"/>
      <x:c r="W41" s="1196"/>
      <x:c r="X41" s="1196"/>
    </x:row>
    <x:row r="42">
      <x:c r="A42" s="1121" t="str">
        <x:v>Interpretation control</x:v>
      </x:c>
      <x:c r="B42" s="1121"/>
      <x:c r="C42" s="1121"/>
      <x:c r="D42" s="1121" t="str">
        <x:v>The affected-population uplift is not assumed to apply uniformly to the broad cohort or the full eligible cohort.</x:v>
      </x:c>
      <x:c r="E42" s="26"/>
      <x:c r="F42" s="26"/>
      <x:c r="G42" s="26"/>
      <x:c r="H42" s="26"/>
      <x:c r="I42" s="26"/>
      <x:c r="J42" s="26"/>
      <x:c r="K42" s="26"/>
      <x:c r="L42" s="26"/>
      <x:c r="M42" s="26"/>
      <x:c r="N42" s="26"/>
      <x:c r="O42" s="26"/>
      <x:c r="P42" s="26"/>
      <x:c r="Q42" s="26"/>
      <x:c r="R42" s="26"/>
      <x:c r="S42" s="26"/>
      <x:c r="U42" s="1196"/>
      <x:c r="V42" s="1196"/>
      <x:c r="W42" s="1196"/>
      <x:c r="X42" s="1196"/>
    </x:row>
    <x:row r="43" ht="23" customHeight="1">
      <x:c r="A43" s="905" t="str">
        <x:v>Central age-earnings trajectory and marginal tax calculation</x:v>
      </x:c>
      <x:c r="B43" s="905"/>
      <x:c r="C43" s="905"/>
      <x:c r="D43" s="905"/>
      <x:c r="E43" s="905"/>
      <x:c r="F43" s="905"/>
      <x:c r="G43" s="905"/>
      <x:c r="H43" s="905"/>
      <x:c r="I43" s="905"/>
      <x:c r="J43" s="905"/>
      <x:c r="K43" s="905"/>
      <x:c r="L43" s="905"/>
      <x:c r="M43" s="905"/>
      <x:c r="N43" s="905"/>
      <x:c r="O43" s="905"/>
      <x:c r="P43" s="905"/>
      <x:c r="Q43" s="905"/>
      <x:c r="R43" s="905"/>
      <x:c r="S43" s="905"/>
      <x:c r="U43" s="1196"/>
      <x:c r="V43" s="1196"/>
      <x:c r="W43" s="1196"/>
      <x:c r="X43" s="1196"/>
    </x:row>
    <x:row r="44" ht="30" customHeight="1">
      <x:c r="A44" s="909" t="str">
        <x:v>Year</x:v>
      </x:c>
      <x:c r="B44" s="909" t="str">
        <x:v>Age</x:v>
      </x:c>
      <x:c r="C44" s="909" t="str">
        <x:v>Age band</x:v>
      </x:c>
      <x:c r="D44" s="909" t="str">
        <x:v>Hourly earnings — 2025</x:v>
      </x:c>
      <x:c r="E44" s="909" t="str">
        <x:v>2026 conversion</x:v>
      </x:c>
      <x:c r="F44" s="909" t="str">
        <x:v>Hours/week</x:v>
      </x:c>
      <x:c r="G44" s="909" t="str">
        <x:v>Weeks/year</x:v>
      </x:c>
      <x:c r="H44" s="909" t="str">
        <x:v>Employment probability</x:v>
      </x:c>
      <x:c r="I44" s="909" t="str">
        <x:v>Real wage-growth index</x:v>
      </x:c>
      <x:c r="J44" s="909" t="str">
        <x:v>Annual earnings — 2026 real</x:v>
      </x:c>
      <x:c r="K44" s="909" t="str">
        <x:v>PV factor — 2% Treasury-aligned social case</x:v>
      </x:c>
      <x:c r="L44" s="909" t="str">
        <x:v>PV factor — 4% intermediate sensitivity</x:v>
      </x:c>
      <x:c r="M44" s="909" t="str">
        <x:v>PV factor — 8% high sensitivity</x:v>
      </x:c>
      <x:c r="N44" s="909" t="str">
        <x:v>Incremental tax + ACC at 1% uplift</x:v>
      </x:c>
      <x:c r="O44" s="909" t="str">
        <x:v>Source / assumption</x:v>
      </x:c>
      <x:c r="P44" s="26"/>
      <x:c r="Q44" s="26"/>
      <x:c r="R44" s="26"/>
      <x:c r="S44" s="26"/>
      <x:c r="U44" s="1196"/>
      <x:c r="V44" s="1196"/>
      <x:c r="W44" s="1196"/>
      <x:c r="X44" s="1196"/>
    </x:row>
    <x:row r="45">
      <x:c r="A45" s="26" t="n">
        <x:v>1</x:v>
      </x:c>
      <x:c r="B45" s="26" t="n">
        <x:v>21</x:v>
      </x:c>
      <x:c r="C45" s="26" t="str">
        <x:v>20–24</x:v>
      </x:c>
      <x:c r="D45" s="962" t="n">
        <x:f>Assumptions!$E$151*Assumptions!$E$147</x:f>
        <x:v>26.160000000000004</x:v>
      </x:c>
      <x:c r="E45" s="963" t="n">
        <x:f>Assumptions!$E$150</x:f>
        <x:v>1.027</x:v>
      </x:c>
      <x:c r="F45" s="932" t="n">
        <x:f>Assumptions!$E$138</x:f>
        <x:v>37</x:v>
      </x:c>
      <x:c r="G45" s="932" t="n">
        <x:f>Assumptions!$E$139</x:f>
        <x:v>52</x:v>
      </x:c>
      <x:c r="H45" s="932" t="n">
        <x:f>Assumptions!$E$137</x:f>
        <x:v>0.85</x:v>
      </x:c>
      <x:c r="I45" s="963" t="n">
        <x:f>(1+Assumptions!$E$140)^(A45-1)</x:f>
        <x:v>1</x:v>
      </x:c>
      <x:c r="J45" s="167" t="n">
        <x:f>D45*E45*F45*G45*I45</x:f>
        <x:v>51690.799680000004</x:v>
      </x:c>
      <x:c r="K45" s="964" t="n">
        <x:f>1/(1+Assumptions!$E$15)^A45</x:f>
        <x:v>0.9803921568627451</x:v>
      </x:c>
      <x:c r="L45" s="964" t="n">
        <x:f>1/(1+Assumptions!$E$53)^A45</x:f>
        <x:v>0.9615384615384615</x:v>
      </x:c>
      <x:c r="M45" s="964" t="n">
        <x:f>1/(1+Assumptions!$E$16)^A45</x:f>
        <x:v>0.9259259259259258</x:v>
      </x:c>
      <x:c r="N45" s="965" t="n">
        <x:f>(MIN(J45*1.01,Assumptions!$E$155)*Assumptions!$E$156+MAX(MIN(J45*1.01,Assumptions!$E$157)-Assumptions!$E$155,0)*Assumptions!$E$158+MAX(MIN(J45*1.01,Assumptions!$E$159)-Assumptions!$E$157,0)*Assumptions!$E$160+MAX(MIN(J45*1.01,Assumptions!$E$161)-Assumptions!$E$159,0)*Assumptions!$E$162+MAX(J45*1.01-Assumptions!$E$161,0)*Assumptions!$E$163+MIN(J45*1.01,Assumptions!$E$165)*Assumptions!$E$164)-(MIN(J45,Assumptions!$E$155)*Assumptions!$E$156+MAX(MIN(J45,Assumptions!$E$157)-Assumptions!$E$155,0)*Assumptions!$E$158+MAX(MIN(J45,Assumptions!$E$159)-Assumptions!$E$157,0)*Assumptions!$E$160+MAX(MIN(J45,Assumptions!$E$161)-Assumptions!$E$159,0)*Assumptions!$E$162+MAX(J45-Assumptions!$E$161,0)*Assumptions!$E$163+MIN(J45,Assumptions!$E$165)*Assumptions!$E$164)</x:f>
        <x:v>99.5047893840001</x:v>
      </x:c>
      <x:c r="O45" s="26" t="str">
        <x:v>S34;S41;S42;S43;A18</x:v>
      </x:c>
      <x:c r="P45" s="26"/>
      <x:c r="Q45" s="26"/>
      <x:c r="R45" s="26"/>
      <x:c r="S45" s="26"/>
      <x:c r="U45" s="1196"/>
      <x:c r="V45" s="1196"/>
      <x:c r="W45" s="1196"/>
      <x:c r="X45" s="1196"/>
    </x:row>
    <x:row r="46">
      <x:c r="A46" s="26" t="n">
        <x:v>2</x:v>
      </x:c>
      <x:c r="B46" s="26" t="n">
        <x:v>22</x:v>
      </x:c>
      <x:c r="C46" s="26" t="str">
        <x:v>20–24</x:v>
      </x:c>
      <x:c r="D46" s="962" t="n">
        <x:f>Assumptions!$E$151*Assumptions!$E$147</x:f>
        <x:v>26.160000000000004</x:v>
      </x:c>
      <x:c r="E46" s="963" t="n">
        <x:f>Assumptions!$E$150</x:f>
        <x:v>1.027</x:v>
      </x:c>
      <x:c r="F46" s="932" t="n">
        <x:f>Assumptions!$E$138</x:f>
        <x:v>37</x:v>
      </x:c>
      <x:c r="G46" s="932" t="n">
        <x:f>Assumptions!$E$139</x:f>
        <x:v>52</x:v>
      </x:c>
      <x:c r="H46" s="932" t="n">
        <x:f>Assumptions!$E$137</x:f>
        <x:v>0.85</x:v>
      </x:c>
      <x:c r="I46" s="963" t="n">
        <x:f>(1+Assumptions!$E$140)^(A46-1)</x:f>
        <x:v>1.005</x:v>
      </x:c>
      <x:c r="J46" s="167" t="n">
        <x:f>D46*E46*F46*G46*I46</x:f>
        <x:v>51949.2536784</x:v>
      </x:c>
      <x:c r="K46" s="964" t="n">
        <x:f>1/(1+Assumptions!$E$15)^A46</x:f>
        <x:v>0.9611687812379854</x:v>
      </x:c>
      <x:c r="L46" s="964" t="n">
        <x:f>1/(1+Assumptions!$E$53)^A46</x:f>
        <x:v>0.9245562130177514</x:v>
      </x:c>
      <x:c r="M46" s="964" t="n">
        <x:f>1/(1+Assumptions!$E$16)^A46</x:f>
        <x:v>0.8573388203017832</x:v>
      </x:c>
      <x:c r="N46" s="965" t="n">
        <x:f>(MIN(J46*1.01,Assumptions!$E$155)*Assumptions!$E$156+MAX(MIN(J46*1.01,Assumptions!$E$157)-Assumptions!$E$155,0)*Assumptions!$E$158+MAX(MIN(J46*1.01,Assumptions!$E$159)-Assumptions!$E$157,0)*Assumptions!$E$160+MAX(MIN(J46*1.01,Assumptions!$E$161)-Assumptions!$E$159,0)*Assumptions!$E$162+MAX(J46*1.01-Assumptions!$E$161,0)*Assumptions!$E$163+MIN(J46*1.01,Assumptions!$E$165)*Assumptions!$E$164)-(MIN(J46,Assumptions!$E$155)*Assumptions!$E$156+MAX(MIN(J46,Assumptions!$E$157)-Assumptions!$E$155,0)*Assumptions!$E$158+MAX(MIN(J46,Assumptions!$E$159)-Assumptions!$E$157,0)*Assumptions!$E$160+MAX(MIN(J46,Assumptions!$E$161)-Assumptions!$E$159,0)*Assumptions!$E$162+MAX(J46-Assumptions!$E$161,0)*Assumptions!$E$163+MIN(J46,Assumptions!$E$165)*Assumptions!$E$164)</x:f>
        <x:v>100.00231333092051</x:v>
      </x:c>
      <x:c r="O46" s="26" t="str">
        <x:v>S34;S41;S42;S43;A18</x:v>
      </x:c>
      <x:c r="P46" s="26"/>
      <x:c r="Q46" s="26"/>
      <x:c r="R46" s="26"/>
      <x:c r="S46" s="26"/>
      <x:c r="U46" s="1196"/>
      <x:c r="V46" s="1196"/>
      <x:c r="W46" s="1196"/>
      <x:c r="X46" s="1196"/>
    </x:row>
    <x:row r="47">
      <x:c r="A47" s="26" t="n">
        <x:v>3</x:v>
      </x:c>
      <x:c r="B47" s="26" t="n">
        <x:v>23</x:v>
      </x:c>
      <x:c r="C47" s="26" t="str">
        <x:v>20–24</x:v>
      </x:c>
      <x:c r="D47" s="962" t="n">
        <x:f>Assumptions!$E$151*Assumptions!$E$147</x:f>
        <x:v>26.160000000000004</x:v>
      </x:c>
      <x:c r="E47" s="963" t="n">
        <x:f>Assumptions!$E$150</x:f>
        <x:v>1.027</x:v>
      </x:c>
      <x:c r="F47" s="932" t="n">
        <x:f>Assumptions!$E$138</x:f>
        <x:v>37</x:v>
      </x:c>
      <x:c r="G47" s="932" t="n">
        <x:f>Assumptions!$E$139</x:f>
        <x:v>52</x:v>
      </x:c>
      <x:c r="H47" s="932" t="n">
        <x:f>Assumptions!$E$137</x:f>
        <x:v>0.85</x:v>
      </x:c>
      <x:c r="I47" s="963" t="n">
        <x:f>(1+Assumptions!$E$140)^(A47-1)</x:f>
        <x:v>1.0100249999999997</x:v>
      </x:c>
      <x:c r="J47" s="167" t="n">
        <x:f>D47*E47*F47*G47*I47</x:f>
        <x:v>52208.99994679199</x:v>
      </x:c>
      <x:c r="K47" s="964" t="n">
        <x:f>1/(1+Assumptions!$E$15)^A47</x:f>
        <x:v>0.9423223345470446</x:v>
      </x:c>
      <x:c r="L47" s="964" t="n">
        <x:f>1/(1+Assumptions!$E$53)^A47</x:f>
        <x:v>0.8889963586709149</x:v>
      </x:c>
      <x:c r="M47" s="964" t="n">
        <x:f>1/(1+Assumptions!$E$16)^A47</x:f>
        <x:v>0.7938322410201696</x:v>
      </x:c>
      <x:c r="N47" s="965" t="n">
        <x:f>(MIN(J47*1.01,Assumptions!$E$155)*Assumptions!$E$156+MAX(MIN(J47*1.01,Assumptions!$E$157)-Assumptions!$E$155,0)*Assumptions!$E$158+MAX(MIN(J47*1.01,Assumptions!$E$159)-Assumptions!$E$157,0)*Assumptions!$E$160+MAX(MIN(J47*1.01,Assumptions!$E$161)-Assumptions!$E$159,0)*Assumptions!$E$162+MAX(J47*1.01-Assumptions!$E$161,0)*Assumptions!$E$163+MIN(J47*1.01,Assumptions!$E$165)*Assumptions!$E$164)-(MIN(J47,Assumptions!$E$155)*Assumptions!$E$156+MAX(MIN(J47,Assumptions!$E$157)-Assumptions!$E$155,0)*Assumptions!$E$158+MAX(MIN(J47,Assumptions!$E$159)-Assumptions!$E$157,0)*Assumptions!$E$160+MAX(MIN(J47,Assumptions!$E$161)-Assumptions!$E$159,0)*Assumptions!$E$162+MAX(J47-Assumptions!$E$161,0)*Assumptions!$E$163+MIN(J47,Assumptions!$E$165)*Assumptions!$E$164)</x:f>
        <x:v>100.502324897574</x:v>
      </x:c>
      <x:c r="O47" s="26" t="str">
        <x:v>S34;S41;S42;S43;A18</x:v>
      </x:c>
      <x:c r="P47" s="26"/>
      <x:c r="Q47" s="26"/>
      <x:c r="R47" s="26"/>
      <x:c r="S47" s="26"/>
      <x:c r="U47" s="1196"/>
      <x:c r="V47" s="1196"/>
      <x:c r="W47" s="1196"/>
      <x:c r="X47" s="1196"/>
    </x:row>
    <x:row r="48">
      <x:c r="A48" s="26" t="n">
        <x:v>4</x:v>
      </x:c>
      <x:c r="B48" s="26" t="n">
        <x:v>24</x:v>
      </x:c>
      <x:c r="C48" s="26" t="str">
        <x:v>20–24</x:v>
      </x:c>
      <x:c r="D48" s="962" t="n">
        <x:f>Assumptions!$E$151*Assumptions!$E$147</x:f>
        <x:v>26.160000000000004</x:v>
      </x:c>
      <x:c r="E48" s="963" t="n">
        <x:f>Assumptions!$E$150</x:f>
        <x:v>1.027</x:v>
      </x:c>
      <x:c r="F48" s="932" t="n">
        <x:f>Assumptions!$E$138</x:f>
        <x:v>37</x:v>
      </x:c>
      <x:c r="G48" s="932" t="n">
        <x:f>Assumptions!$E$139</x:f>
        <x:v>52</x:v>
      </x:c>
      <x:c r="H48" s="932" t="n">
        <x:f>Assumptions!$E$137</x:f>
        <x:v>0.85</x:v>
      </x:c>
      <x:c r="I48" s="963" t="n">
        <x:f>(1+Assumptions!$E$140)^(A48-1)</x:f>
        <x:v>1.0150751249999996</x:v>
      </x:c>
      <x:c r="J48" s="167" t="n">
        <x:f>D48*E48*F48*G48*I48</x:f>
        <x:v>52470.044946525944</x:v>
      </x:c>
      <x:c r="K48" s="964" t="n">
        <x:f>1/(1+Assumptions!$E$15)^A48</x:f>
        <x:v>0.9238454260265142</x:v>
      </x:c>
      <x:c r="L48" s="964" t="n">
        <x:f>1/(1+Assumptions!$E$53)^A48</x:f>
        <x:v>0.8548041910297257</x:v>
      </x:c>
      <x:c r="M48" s="964" t="n">
        <x:f>1/(1+Assumptions!$E$16)^A48</x:f>
        <x:v>0.7350298527964533</x:v>
      </x:c>
      <x:c r="N48" s="965" t="n">
        <x:f>(MIN(J48*1.01,Assumptions!$E$155)*Assumptions!$E$156+MAX(MIN(J48*1.01,Assumptions!$E$157)-Assumptions!$E$155,0)*Assumptions!$E$158+MAX(MIN(J48*1.01,Assumptions!$E$159)-Assumptions!$E$157,0)*Assumptions!$E$160+MAX(MIN(J48*1.01,Assumptions!$E$161)-Assumptions!$E$159,0)*Assumptions!$E$162+MAX(J48*1.01-Assumptions!$E$161,0)*Assumptions!$E$163+MIN(J48*1.01,Assumptions!$E$165)*Assumptions!$E$164)-(MIN(J48,Assumptions!$E$155)*Assumptions!$E$156+MAX(MIN(J48,Assumptions!$E$157)-Assumptions!$E$155,0)*Assumptions!$E$158+MAX(MIN(J48,Assumptions!$E$159)-Assumptions!$E$157,0)*Assumptions!$E$160+MAX(MIN(J48,Assumptions!$E$161)-Assumptions!$E$159,0)*Assumptions!$E$162+MAX(J48-Assumptions!$E$161,0)*Assumptions!$E$163+MIN(J48,Assumptions!$E$165)*Assumptions!$E$164)</x:f>
        <x:v>101.00483652206276</x:v>
      </x:c>
      <x:c r="O48" s="26" t="str">
        <x:v>S34;S41;S42;S43;A18</x:v>
      </x:c>
      <x:c r="P48" s="26"/>
      <x:c r="Q48" s="26"/>
      <x:c r="R48" s="26"/>
      <x:c r="S48" s="26"/>
      <x:c r="U48" s="1196"/>
      <x:c r="V48" s="1196"/>
      <x:c r="W48" s="1196"/>
      <x:c r="X48" s="1196"/>
    </x:row>
    <x:row r="49">
      <x:c r="A49" s="26" t="n">
        <x:v>5</x:v>
      </x:c>
      <x:c r="B49" s="26" t="n">
        <x:v>25</x:v>
      </x:c>
      <x:c r="C49" s="26" t="str">
        <x:v>25–34</x:v>
      </x:c>
      <x:c r="D49" s="962" t="n">
        <x:f>Assumptions!$E$151</x:f>
        <x:v>34.88</x:v>
      </x:c>
      <x:c r="E49" s="963" t="n">
        <x:f>Assumptions!$E$150</x:f>
        <x:v>1.027</x:v>
      </x:c>
      <x:c r="F49" s="932" t="n">
        <x:f>Assumptions!$E$138</x:f>
        <x:v>37</x:v>
      </x:c>
      <x:c r="G49" s="932" t="n">
        <x:f>Assumptions!$E$139</x:f>
        <x:v>52</x:v>
      </x:c>
      <x:c r="H49" s="932" t="n">
        <x:f>Assumptions!$E$137</x:f>
        <x:v>0.85</x:v>
      </x:c>
      <x:c r="I49" s="963" t="n">
        <x:f>(1+Assumptions!$E$140)^(A49-1)</x:f>
        <x:v>1.0201505006249993</x:v>
      </x:c>
      <x:c r="J49" s="167" t="n">
        <x:f>D49*E49*F49*G49*I49</x:f>
        <x:v>70309.86022834474</x:v>
      </x:c>
      <x:c r="K49" s="964" t="n">
        <x:f>1/(1+Assumptions!$E$15)^A49</x:f>
        <x:v>0.9057308098299159</x:v>
      </x:c>
      <x:c r="L49" s="964" t="n">
        <x:f>1/(1+Assumptions!$E$53)^A49</x:f>
        <x:v>0.8219271067593515</x:v>
      </x:c>
      <x:c r="M49" s="964" t="n">
        <x:f>1/(1+Assumptions!$E$16)^A49</x:f>
        <x:v>0.680583197033753</x:v>
      </x:c>
      <x:c r="N49" s="965" t="n">
        <x:f>(MIN(J49*1.01,Assumptions!$E$155)*Assumptions!$E$156+MAX(MIN(J49*1.01,Assumptions!$E$157)-Assumptions!$E$155,0)*Assumptions!$E$158+MAX(MIN(J49*1.01,Assumptions!$E$159)-Assumptions!$E$157,0)*Assumptions!$E$160+MAX(MIN(J49*1.01,Assumptions!$E$161)-Assumptions!$E$159,0)*Assumptions!$E$162+MAX(J49*1.01-Assumptions!$E$161,0)*Assumptions!$E$163+MIN(J49*1.01,Assumptions!$E$165)*Assumptions!$E$164)-(MIN(J49,Assumptions!$E$155)*Assumptions!$E$156+MAX(MIN(J49,Assumptions!$E$157)-Assumptions!$E$155,0)*Assumptions!$E$158+MAX(MIN(J49,Assumptions!$E$159)-Assumptions!$E$157,0)*Assumptions!$E$160+MAX(MIN(J49,Assumptions!$E$161)-Assumptions!$E$159,0)*Assumptions!$E$162+MAX(J49-Assumptions!$E$161,0)*Assumptions!$E$163+MIN(J49,Assumptions!$E$165)*Assumptions!$E$164)</x:f>
        <x:v>223.23380622499644</x:v>
      </x:c>
      <x:c r="O49" s="26" t="str">
        <x:v>S34;S41;S42;S43;A18</x:v>
      </x:c>
      <x:c r="P49" s="26"/>
      <x:c r="Q49" s="26"/>
      <x:c r="R49" s="26"/>
      <x:c r="S49" s="26"/>
      <x:c r="U49" s="1196"/>
      <x:c r="V49" s="1196"/>
      <x:c r="W49" s="1196"/>
      <x:c r="X49" s="1196"/>
    </x:row>
    <x:row r="50">
      <x:c r="A50" s="26" t="n">
        <x:v>6</x:v>
      </x:c>
      <x:c r="B50" s="26" t="n">
        <x:v>26</x:v>
      </x:c>
      <x:c r="C50" s="26" t="str">
        <x:v>25–34</x:v>
      </x:c>
      <x:c r="D50" s="962" t="n">
        <x:f>Assumptions!$E$151</x:f>
        <x:v>34.88</x:v>
      </x:c>
      <x:c r="E50" s="963" t="n">
        <x:f>Assumptions!$E$150</x:f>
        <x:v>1.027</x:v>
      </x:c>
      <x:c r="F50" s="932" t="n">
        <x:f>Assumptions!$E$138</x:f>
        <x:v>37</x:v>
      </x:c>
      <x:c r="G50" s="932" t="n">
        <x:f>Assumptions!$E$139</x:f>
        <x:v>52</x:v>
      </x:c>
      <x:c r="H50" s="932" t="n">
        <x:f>Assumptions!$E$137</x:f>
        <x:v>0.85</x:v>
      </x:c>
      <x:c r="I50" s="963" t="n">
        <x:f>(1+Assumptions!$E$140)^(A50-1)</x:f>
        <x:v>1.0252512531281242</x:v>
      </x:c>
      <x:c r="J50" s="167" t="n">
        <x:f>D50*E50*F50*G50*I50</x:f>
        <x:v>70661.40952948645</x:v>
      </x:c>
      <x:c r="K50" s="964" t="n">
        <x:f>1/(1+Assumptions!$E$15)^A50</x:f>
        <x:v>0.887971382186192</x:v>
      </x:c>
      <x:c r="L50" s="964" t="n">
        <x:f>1/(1+Assumptions!$E$53)^A50</x:f>
        <x:v>0.7903145257301457</x:v>
      </x:c>
      <x:c r="M50" s="964" t="n">
        <x:f>1/(1+Assumptions!$E$16)^A50</x:f>
        <x:v>0.6301696268831045</x:v>
      </x:c>
      <x:c r="N50" s="965" t="n">
        <x:f>(MIN(J50*1.01,Assumptions!$E$155)*Assumptions!$E$156+MAX(MIN(J50*1.01,Assumptions!$E$157)-Assumptions!$E$155,0)*Assumptions!$E$158+MAX(MIN(J50*1.01,Assumptions!$E$159)-Assumptions!$E$157,0)*Assumptions!$E$160+MAX(MIN(J50*1.01,Assumptions!$E$161)-Assumptions!$E$159,0)*Assumptions!$E$162+MAX(J50*1.01-Assumptions!$E$161,0)*Assumptions!$E$163+MIN(J50*1.01,Assumptions!$E$165)*Assumptions!$E$164)-(MIN(J50,Assumptions!$E$155)*Assumptions!$E$156+MAX(MIN(J50,Assumptions!$E$157)-Assumptions!$E$155,0)*Assumptions!$E$158+MAX(MIN(J50,Assumptions!$E$159)-Assumptions!$E$157,0)*Assumptions!$E$160+MAX(MIN(J50,Assumptions!$E$161)-Assumptions!$E$159,0)*Assumptions!$E$162+MAX(J50-Assumptions!$E$161,0)*Assumptions!$E$163+MIN(J50,Assumptions!$E$165)*Assumptions!$E$164)</x:f>
        <x:v>224.34997525611834</x:v>
      </x:c>
      <x:c r="O50" s="26" t="str">
        <x:v>S34;S41;S42;S43;A18</x:v>
      </x:c>
      <x:c r="P50" s="26"/>
      <x:c r="Q50" s="26"/>
      <x:c r="R50" s="26"/>
      <x:c r="S50" s="26"/>
      <x:c r="U50" s="1196"/>
      <x:c r="V50" s="1196"/>
      <x:c r="W50" s="1196"/>
      <x:c r="X50" s="1196"/>
    </x:row>
    <x:row r="51">
      <x:c r="A51" s="26" t="n">
        <x:v>7</x:v>
      </x:c>
      <x:c r="B51" s="26" t="n">
        <x:v>27</x:v>
      </x:c>
      <x:c r="C51" s="26" t="str">
        <x:v>25–34</x:v>
      </x:c>
      <x:c r="D51" s="962" t="n">
        <x:f>Assumptions!$E$151</x:f>
        <x:v>34.88</x:v>
      </x:c>
      <x:c r="E51" s="963" t="n">
        <x:f>Assumptions!$E$150</x:f>
        <x:v>1.027</x:v>
      </x:c>
      <x:c r="F51" s="932" t="n">
        <x:f>Assumptions!$E$138</x:f>
        <x:v>37</x:v>
      </x:c>
      <x:c r="G51" s="932" t="n">
        <x:f>Assumptions!$E$139</x:f>
        <x:v>52</x:v>
      </x:c>
      <x:c r="H51" s="932" t="n">
        <x:f>Assumptions!$E$137</x:f>
        <x:v>0.85</x:v>
      </x:c>
      <x:c r="I51" s="963" t="n">
        <x:f>(1+Assumptions!$E$140)^(A51-1)</x:f>
        <x:v>1.0303775093937646</x:v>
      </x:c>
      <x:c r="J51" s="167" t="n">
        <x:f>D51*E51*F51*G51*I51</x:f>
        <x:v>71014.71657713388</x:v>
      </x:c>
      <x:c r="K51" s="964" t="n">
        <x:f>1/(1+Assumptions!$E$15)^A51</x:f>
        <x:v>0.8705601786139139</x:v>
      </x:c>
      <x:c r="L51" s="964" t="n">
        <x:f>1/(1+Assumptions!$E$53)^A51</x:f>
        <x:v>0.7599178132020633</x:v>
      </x:c>
      <x:c r="M51" s="964" t="n">
        <x:f>1/(1+Assumptions!$E$16)^A51</x:f>
        <x:v>0.5834903952621339</x:v>
      </x:c>
      <x:c r="N51" s="965" t="n">
        <x:f>(MIN(J51*1.01,Assumptions!$E$155)*Assumptions!$E$156+MAX(MIN(J51*1.01,Assumptions!$E$157)-Assumptions!$E$155,0)*Assumptions!$E$158+MAX(MIN(J51*1.01,Assumptions!$E$159)-Assumptions!$E$157,0)*Assumptions!$E$160+MAX(MIN(J51*1.01,Assumptions!$E$161)-Assumptions!$E$159,0)*Assumptions!$E$162+MAX(J51*1.01-Assumptions!$E$161,0)*Assumptions!$E$163+MIN(J51*1.01,Assumptions!$E$165)*Assumptions!$E$164)-(MIN(J51,Assumptions!$E$155)*Assumptions!$E$156+MAX(MIN(J51,Assumptions!$E$157)-Assumptions!$E$155,0)*Assumptions!$E$158+MAX(MIN(J51,Assumptions!$E$159)-Assumptions!$E$157,0)*Assumptions!$E$160+MAX(MIN(J51,Assumptions!$E$161)-Assumptions!$E$159,0)*Assumptions!$E$162+MAX(J51-Assumptions!$E$161,0)*Assumptions!$E$163+MIN(J51,Assumptions!$E$165)*Assumptions!$E$164)</x:f>
        <x:v>225.47172513240002</x:v>
      </x:c>
      <x:c r="O51" s="26" t="str">
        <x:v>S34;S41;S42;S43;A18</x:v>
      </x:c>
      <x:c r="P51" s="26"/>
      <x:c r="Q51" s="26"/>
      <x:c r="R51" s="26"/>
      <x:c r="S51" s="26"/>
      <x:c r="U51" s="1196"/>
      <x:c r="V51" s="1196"/>
      <x:c r="W51" s="1196"/>
      <x:c r="X51" s="1196"/>
    </x:row>
    <x:row r="52">
      <x:c r="A52" s="26" t="n">
        <x:v>8</x:v>
      </x:c>
      <x:c r="B52" s="26" t="n">
        <x:v>28</x:v>
      </x:c>
      <x:c r="C52" s="26" t="str">
        <x:v>25–34</x:v>
      </x:c>
      <x:c r="D52" s="962" t="n">
        <x:f>Assumptions!$E$151</x:f>
        <x:v>34.88</x:v>
      </x:c>
      <x:c r="E52" s="963" t="n">
        <x:f>Assumptions!$E$150</x:f>
        <x:v>1.027</x:v>
      </x:c>
      <x:c r="F52" s="932" t="n">
        <x:f>Assumptions!$E$138</x:f>
        <x:v>37</x:v>
      </x:c>
      <x:c r="G52" s="932" t="n">
        <x:f>Assumptions!$E$139</x:f>
        <x:v>52</x:v>
      </x:c>
      <x:c r="H52" s="932" t="n">
        <x:f>Assumptions!$E$137</x:f>
        <x:v>0.85</x:v>
      </x:c>
      <x:c r="I52" s="963" t="n">
        <x:f>(1+Assumptions!$E$140)^(A52-1)</x:f>
        <x:v>1.0355293969407333</x:v>
      </x:c>
      <x:c r="J52" s="167" t="n">
        <x:f>D52*E52*F52*G52*I52</x:f>
        <x:v>71369.79016001953</x:v>
      </x:c>
      <x:c r="K52" s="964" t="n">
        <x:f>1/(1+Assumptions!$E$15)^A52</x:f>
        <x:v>0.8534903711901116</x:v>
      </x:c>
      <x:c r="L52" s="964" t="n">
        <x:f>1/(1+Assumptions!$E$53)^A52</x:f>
        <x:v>0.7306902050019838</x:v>
      </x:c>
      <x:c r="M52" s="964" t="n">
        <x:f>1/(1+Assumptions!$E$16)^A52</x:f>
        <x:v>0.5402688845019757</x:v>
      </x:c>
      <x:c r="N52" s="965" t="n">
        <x:f>(MIN(J52*1.01,Assumptions!$E$155)*Assumptions!$E$156+MAX(MIN(J52*1.01,Assumptions!$E$157)-Assumptions!$E$155,0)*Assumptions!$E$158+MAX(MIN(J52*1.01,Assumptions!$E$159)-Assumptions!$E$157,0)*Assumptions!$E$160+MAX(MIN(J52*1.01,Assumptions!$E$161)-Assumptions!$E$159,0)*Assumptions!$E$162+MAX(J52*1.01-Assumptions!$E$161,0)*Assumptions!$E$163+MIN(J52*1.01,Assumptions!$E$165)*Assumptions!$E$164)-(MIN(J52,Assumptions!$E$155)*Assumptions!$E$156+MAX(MIN(J52,Assumptions!$E$157)-Assumptions!$E$155,0)*Assumptions!$E$158+MAX(MIN(J52,Assumptions!$E$159)-Assumptions!$E$157,0)*Assumptions!$E$160+MAX(MIN(J52,Assumptions!$E$161)-Assumptions!$E$159,0)*Assumptions!$E$162+MAX(J52-Assumptions!$E$161,0)*Assumptions!$E$163+MIN(J52,Assumptions!$E$165)*Assumptions!$E$164)</x:f>
        <x:v>226.599083758063</x:v>
      </x:c>
      <x:c r="O52" s="26" t="str">
        <x:v>S34;S41;S42;S43;A18</x:v>
      </x:c>
      <x:c r="P52" s="26"/>
      <x:c r="Q52" s="26"/>
      <x:c r="R52" s="26"/>
      <x:c r="S52" s="26"/>
      <x:c r="U52" s="1196"/>
      <x:c r="V52" s="1196"/>
      <x:c r="W52" s="1196"/>
      <x:c r="X52" s="1196"/>
    </x:row>
    <x:row r="53">
      <x:c r="A53" s="26" t="n">
        <x:v>9</x:v>
      </x:c>
      <x:c r="B53" s="26" t="n">
        <x:v>29</x:v>
      </x:c>
      <x:c r="C53" s="26" t="str">
        <x:v>25–34</x:v>
      </x:c>
      <x:c r="D53" s="962" t="n">
        <x:f>Assumptions!$E$151</x:f>
        <x:v>34.88</x:v>
      </x:c>
      <x:c r="E53" s="963" t="n">
        <x:f>Assumptions!$E$150</x:f>
        <x:v>1.027</x:v>
      </x:c>
      <x:c r="F53" s="932" t="n">
        <x:f>Assumptions!$E$138</x:f>
        <x:v>37</x:v>
      </x:c>
      <x:c r="G53" s="932" t="n">
        <x:f>Assumptions!$E$139</x:f>
        <x:v>52</x:v>
      </x:c>
      <x:c r="H53" s="932" t="n">
        <x:f>Assumptions!$E$137</x:f>
        <x:v>0.85</x:v>
      </x:c>
      <x:c r="I53" s="963" t="n">
        <x:f>(1+Assumptions!$E$140)^(A53-1)</x:f>
        <x:v>1.040707043925437</x:v>
      </x:c>
      <x:c r="J53" s="167" t="n">
        <x:f>D53*E53*F53*G53*I53</x:f>
        <x:v>71726.63911081963</x:v>
      </x:c>
      <x:c r="K53" s="964" t="n">
        <x:f>1/(1+Assumptions!$E$15)^A53</x:f>
        <x:v>0.8367552658726585</x:v>
      </x:c>
      <x:c r="L53" s="964" t="n">
        <x:f>1/(1+Assumptions!$E$53)^A53</x:f>
        <x:v>0.7025867355788304</x:v>
      </x:c>
      <x:c r="M53" s="964" t="n">
        <x:f>1/(1+Assumptions!$E$16)^A53</x:f>
        <x:v>0.500248967131459</x:v>
      </x:c>
      <x:c r="N53" s="965" t="n">
        <x:f>(MIN(J53*1.01,Assumptions!$E$155)*Assumptions!$E$156+MAX(MIN(J53*1.01,Assumptions!$E$157)-Assumptions!$E$155,0)*Assumptions!$E$158+MAX(MIN(J53*1.01,Assumptions!$E$159)-Assumptions!$E$157,0)*Assumptions!$E$160+MAX(MIN(J53*1.01,Assumptions!$E$161)-Assumptions!$E$159,0)*Assumptions!$E$162+MAX(J53*1.01-Assumptions!$E$161,0)*Assumptions!$E$163+MIN(J53*1.01,Assumptions!$E$165)*Assumptions!$E$164)-(MIN(J53,Assumptions!$E$155)*Assumptions!$E$156+MAX(MIN(J53,Assumptions!$E$157)-Assumptions!$E$155,0)*Assumptions!$E$158+MAX(MIN(J53,Assumptions!$E$159)-Assumptions!$E$157,0)*Assumptions!$E$160+MAX(MIN(J53,Assumptions!$E$161)-Assumptions!$E$159,0)*Assumptions!$E$162+MAX(J53-Assumptions!$E$161,0)*Assumptions!$E$163+MIN(J53,Assumptions!$E$165)*Assumptions!$E$164)</x:f>
        <x:v>227.7320791768525</x:v>
      </x:c>
      <x:c r="O53" s="26" t="str">
        <x:v>S34;S41;S42;S43;A18</x:v>
      </x:c>
      <x:c r="P53" s="26"/>
      <x:c r="Q53" s="26"/>
      <x:c r="R53" s="26"/>
      <x:c r="S53" s="26"/>
      <x:c r="U53" s="1196"/>
      <x:c r="V53" s="1196"/>
      <x:c r="W53" s="1196"/>
      <x:c r="X53" s="1196"/>
    </x:row>
    <x:row r="54">
      <x:c r="A54" s="26" t="n">
        <x:v>10</x:v>
      </x:c>
      <x:c r="B54" s="26" t="n">
        <x:v>30</x:v>
      </x:c>
      <x:c r="C54" s="26" t="str">
        <x:v>25–34</x:v>
      </x:c>
      <x:c r="D54" s="962" t="n">
        <x:f>Assumptions!$E$151</x:f>
        <x:v>34.88</x:v>
      </x:c>
      <x:c r="E54" s="963" t="n">
        <x:f>Assumptions!$E$150</x:f>
        <x:v>1.027</x:v>
      </x:c>
      <x:c r="F54" s="932" t="n">
        <x:f>Assumptions!$E$138</x:f>
        <x:v>37</x:v>
      </x:c>
      <x:c r="G54" s="932" t="n">
        <x:f>Assumptions!$E$139</x:f>
        <x:v>52</x:v>
      </x:c>
      <x:c r="H54" s="932" t="n">
        <x:f>Assumptions!$E$137</x:f>
        <x:v>0.85</x:v>
      </x:c>
      <x:c r="I54" s="963" t="n">
        <x:f>(1+Assumptions!$E$140)^(A54-1)</x:f>
        <x:v>1.045910579145064</x:v>
      </x:c>
      <x:c r="J54" s="167" t="n">
        <x:f>D54*E54*F54*G54*I54</x:f>
        <x:v>72085.27230637372</x:v>
      </x:c>
      <x:c r="K54" s="964" t="n">
        <x:f>1/(1+Assumptions!$E$15)^A54</x:f>
        <x:v>0.8203482998751553</x:v>
      </x:c>
      <x:c r="L54" s="964" t="n">
        <x:f>1/(1+Assumptions!$E$53)^A54</x:f>
        <x:v>0.6755641688257985</x:v>
      </x:c>
      <x:c r="M54" s="964" t="n">
        <x:f>1/(1+Assumptions!$E$16)^A54</x:f>
        <x:v>0.46319348808468425</x:v>
      </x:c>
      <x:c r="N54" s="965" t="n">
        <x:f>(MIN(J54*1.01,Assumptions!$E$155)*Assumptions!$E$156+MAX(MIN(J54*1.01,Assumptions!$E$157)-Assumptions!$E$155,0)*Assumptions!$E$158+MAX(MIN(J54*1.01,Assumptions!$E$159)-Assumptions!$E$157,0)*Assumptions!$E$160+MAX(MIN(J54*1.01,Assumptions!$E$161)-Assumptions!$E$159,0)*Assumptions!$E$162+MAX(J54*1.01-Assumptions!$E$161,0)*Assumptions!$E$163+MIN(J54*1.01,Assumptions!$E$165)*Assumptions!$E$164)-(MIN(J54,Assumptions!$E$155)*Assumptions!$E$156+MAX(MIN(J54,Assumptions!$E$157)-Assumptions!$E$155,0)*Assumptions!$E$158+MAX(MIN(J54,Assumptions!$E$159)-Assumptions!$E$157,0)*Assumptions!$E$160+MAX(MIN(J54,Assumptions!$E$161)-Assumptions!$E$159,0)*Assumptions!$E$162+MAX(J54-Assumptions!$E$161,0)*Assumptions!$E$163+MIN(J54,Assumptions!$E$165)*Assumptions!$E$164)</x:f>
        <x:v>228.87073957273788</x:v>
      </x:c>
      <x:c r="O54" s="26" t="str">
        <x:v>S34;S41;S42;S43;A18</x:v>
      </x:c>
      <x:c r="P54" s="26"/>
      <x:c r="Q54" s="26"/>
      <x:c r="R54" s="26"/>
      <x:c r="S54" s="26"/>
      <x:c r="U54" s="1196"/>
      <x:c r="V54" s="1196"/>
      <x:c r="W54" s="1196"/>
      <x:c r="X54" s="1196"/>
    </x:row>
    <x:row r="55">
      <x:c r="A55" s="26" t="n">
        <x:v>11</x:v>
      </x:c>
      <x:c r="B55" s="26" t="n">
        <x:v>31</x:v>
      </x:c>
      <x:c r="C55" s="26" t="str">
        <x:v>25–34</x:v>
      </x:c>
      <x:c r="D55" s="962" t="n">
        <x:f>Assumptions!$E$151</x:f>
        <x:v>34.88</x:v>
      </x:c>
      <x:c r="E55" s="963" t="n">
        <x:f>Assumptions!$E$150</x:f>
        <x:v>1.027</x:v>
      </x:c>
      <x:c r="F55" s="932" t="n">
        <x:f>Assumptions!$E$138</x:f>
        <x:v>37</x:v>
      </x:c>
      <x:c r="G55" s="932" t="n">
        <x:f>Assumptions!$E$139</x:f>
        <x:v>52</x:v>
      </x:c>
      <x:c r="H55" s="932" t="n">
        <x:f>Assumptions!$E$137</x:f>
        <x:v>0.85</x:v>
      </x:c>
      <x:c r="I55" s="963" t="n">
        <x:f>(1+Assumptions!$E$140)^(A55-1)</x:f>
        <x:v>1.0511401320407892</x:v>
      </x:c>
      <x:c r="J55" s="167" t="n">
        <x:f>D55*E55*F55*G55*I55</x:f>
        <x:v>72445.69866790557</x:v>
      </x:c>
      <x:c r="K55" s="964" t="n">
        <x:f>1/(1+Assumptions!$E$15)^A55</x:f>
        <x:v>0.8042630390932897</x:v>
      </x:c>
      <x:c r="L55" s="964" t="n">
        <x:f>1/(1+Assumptions!$E$53)^A55</x:f>
        <x:v>0.6495809315632679</x:v>
      </x:c>
      <x:c r="M55" s="964" t="n">
        <x:f>1/(1+Assumptions!$E$16)^A55</x:f>
        <x:v>0.4288828593376706</x:v>
      </x:c>
      <x:c r="N55" s="965" t="n">
        <x:f>(MIN(J55*1.01,Assumptions!$E$155)*Assumptions!$E$156+MAX(MIN(J55*1.01,Assumptions!$E$157)-Assumptions!$E$155,0)*Assumptions!$E$158+MAX(MIN(J55*1.01,Assumptions!$E$159)-Assumptions!$E$157,0)*Assumptions!$E$160+MAX(MIN(J55*1.01,Assumptions!$E$161)-Assumptions!$E$159,0)*Assumptions!$E$162+MAX(J55*1.01-Assumptions!$E$161,0)*Assumptions!$E$163+MIN(J55*1.01,Assumptions!$E$165)*Assumptions!$E$164)-(MIN(J55,Assumptions!$E$155)*Assumptions!$E$156+MAX(MIN(J55,Assumptions!$E$157)-Assumptions!$E$155,0)*Assumptions!$E$158+MAX(MIN(J55,Assumptions!$E$159)-Assumptions!$E$157,0)*Assumptions!$E$160+MAX(MIN(J55,Assumptions!$E$161)-Assumptions!$E$159,0)*Assumptions!$E$162+MAX(J55-Assumptions!$E$161,0)*Assumptions!$E$163+MIN(J55,Assumptions!$E$165)*Assumptions!$E$164)</x:f>
        <x:v>230.0150932705983</x:v>
      </x:c>
      <x:c r="O55" s="26" t="str">
        <x:v>S34;S41;S42;S43;A18</x:v>
      </x:c>
      <x:c r="P55" s="26"/>
      <x:c r="Q55" s="26"/>
      <x:c r="R55" s="26"/>
      <x:c r="S55" s="26"/>
      <x:c r="U55" s="1196"/>
      <x:c r="V55" s="1196"/>
      <x:c r="W55" s="1196"/>
      <x:c r="X55" s="1196"/>
    </x:row>
    <x:row r="56">
      <x:c r="A56" s="26" t="n">
        <x:v>12</x:v>
      </x:c>
      <x:c r="B56" s="26" t="n">
        <x:v>32</x:v>
      </x:c>
      <x:c r="C56" s="26" t="str">
        <x:v>25–34</x:v>
      </x:c>
      <x:c r="D56" s="962" t="n">
        <x:f>Assumptions!$E$151</x:f>
        <x:v>34.88</x:v>
      </x:c>
      <x:c r="E56" s="963" t="n">
        <x:f>Assumptions!$E$150</x:f>
        <x:v>1.027</x:v>
      </x:c>
      <x:c r="F56" s="932" t="n">
        <x:f>Assumptions!$E$138</x:f>
        <x:v>37</x:v>
      </x:c>
      <x:c r="G56" s="932" t="n">
        <x:f>Assumptions!$E$139</x:f>
        <x:v>52</x:v>
      </x:c>
      <x:c r="H56" s="932" t="n">
        <x:f>Assumptions!$E$137</x:f>
        <x:v>0.85</x:v>
      </x:c>
      <x:c r="I56" s="963" t="n">
        <x:f>(1+Assumptions!$E$140)^(A56-1)</x:f>
        <x:v>1.056395832700993</x:v>
      </x:c>
      <x:c r="J56" s="167" t="n">
        <x:f>D56*E56*F56*G56*I56</x:f>
        <x:v>72807.9271612451</x:v>
      </x:c>
      <x:c r="K56" s="964" t="n">
        <x:f>1/(1+Assumptions!$E$15)^A56</x:f>
        <x:v>0.7884931755816564</x:v>
      </x:c>
      <x:c r="L56" s="964" t="n">
        <x:f>1/(1+Assumptions!$E$53)^A56</x:f>
        <x:v>0.6245970495800651</x:v>
      </x:c>
      <x:c r="M56" s="964" t="n">
        <x:f>1/(1+Assumptions!$E$16)^A56</x:f>
        <x:v>0.39711375864599124</x:v>
      </x:c>
      <x:c r="N56" s="965" t="n">
        <x:f>(MIN(J56*1.01,Assumptions!$E$155)*Assumptions!$E$156+MAX(MIN(J56*1.01,Assumptions!$E$157)-Assumptions!$E$155,0)*Assumptions!$E$158+MAX(MIN(J56*1.01,Assumptions!$E$159)-Assumptions!$E$157,0)*Assumptions!$E$160+MAX(MIN(J56*1.01,Assumptions!$E$161)-Assumptions!$E$159,0)*Assumptions!$E$162+MAX(J56*1.01-Assumptions!$E$161,0)*Assumptions!$E$163+MIN(J56*1.01,Assumptions!$E$165)*Assumptions!$E$164)-(MIN(J56,Assumptions!$E$155)*Assumptions!$E$156+MAX(MIN(J56,Assumptions!$E$157)-Assumptions!$E$155,0)*Assumptions!$E$158+MAX(MIN(J56,Assumptions!$E$159)-Assumptions!$E$157,0)*Assumptions!$E$160+MAX(MIN(J56,Assumptions!$E$161)-Assumptions!$E$159,0)*Assumptions!$E$162+MAX(J56-Assumptions!$E$161,0)*Assumptions!$E$163+MIN(J56,Assumptions!$E$165)*Assumptions!$E$164)</x:f>
        <x:v>231.165168736954</x:v>
      </x:c>
      <x:c r="O56" s="26" t="str">
        <x:v>S34;S41;S42;S43;A18</x:v>
      </x:c>
      <x:c r="P56" s="26"/>
      <x:c r="Q56" s="26"/>
      <x:c r="R56" s="26"/>
      <x:c r="S56" s="26"/>
      <x:c r="U56" s="1196"/>
      <x:c r="V56" s="1196"/>
      <x:c r="W56" s="1196"/>
      <x:c r="X56" s="1196"/>
    </x:row>
    <x:row r="57">
      <x:c r="A57" s="26" t="n">
        <x:v>13</x:v>
      </x:c>
      <x:c r="B57" s="26" t="n">
        <x:v>33</x:v>
      </x:c>
      <x:c r="C57" s="26" t="str">
        <x:v>25–34</x:v>
      </x:c>
      <x:c r="D57" s="962" t="n">
        <x:f>Assumptions!$E$151</x:f>
        <x:v>34.88</x:v>
      </x:c>
      <x:c r="E57" s="963" t="n">
        <x:f>Assumptions!$E$150</x:f>
        <x:v>1.027</x:v>
      </x:c>
      <x:c r="F57" s="932" t="n">
        <x:f>Assumptions!$E$138</x:f>
        <x:v>37</x:v>
      </x:c>
      <x:c r="G57" s="932" t="n">
        <x:f>Assumptions!$E$139</x:f>
        <x:v>52</x:v>
      </x:c>
      <x:c r="H57" s="932" t="n">
        <x:f>Assumptions!$E$137</x:f>
        <x:v>0.85</x:v>
      </x:c>
      <x:c r="I57" s="963" t="n">
        <x:f>(1+Assumptions!$E$140)^(A57-1)</x:f>
        <x:v>1.0616778118644976</x:v>
      </x:c>
      <x:c r="J57" s="167" t="n">
        <x:f>D57*E57*F57*G57*I57</x:f>
        <x:v>73171.9667970513</x:v>
      </x:c>
      <x:c r="K57" s="964" t="n">
        <x:f>1/(1+Assumptions!$E$15)^A57</x:f>
        <x:v>0.7730325250800554</x:v>
      </x:c>
      <x:c r="L57" s="964" t="n">
        <x:f>1/(1+Assumptions!$E$53)^A57</x:f>
        <x:v>0.600574086134678</x:v>
      </x:c>
      <x:c r="M57" s="964" t="n">
        <x:f>1/(1+Assumptions!$E$16)^A57</x:f>
        <x:v>0.3676979246722141</x:v>
      </x:c>
      <x:c r="N57" s="965" t="n">
        <x:f>(MIN(J57*1.01,Assumptions!$E$155)*Assumptions!$E$156+MAX(MIN(J57*1.01,Assumptions!$E$157)-Assumptions!$E$155,0)*Assumptions!$E$158+MAX(MIN(J57*1.01,Assumptions!$E$159)-Assumptions!$E$157,0)*Assumptions!$E$160+MAX(MIN(J57*1.01,Assumptions!$E$161)-Assumptions!$E$159,0)*Assumptions!$E$162+MAX(J57*1.01-Assumptions!$E$161,0)*Assumptions!$E$163+MIN(J57*1.01,Assumptions!$E$165)*Assumptions!$E$164)-(MIN(J57,Assumptions!$E$155)*Assumptions!$E$156+MAX(MIN(J57,Assumptions!$E$157)-Assumptions!$E$155,0)*Assumptions!$E$158+MAX(MIN(J57,Assumptions!$E$159)-Assumptions!$E$157,0)*Assumptions!$E$160+MAX(MIN(J57,Assumptions!$E$161)-Assumptions!$E$159,0)*Assumptions!$E$162+MAX(J57-Assumptions!$E$161,0)*Assumptions!$E$163+MIN(J57,Assumptions!$E$165)*Assumptions!$E$164)</x:f>
        <x:v>232.3209945806393</x:v>
      </x:c>
      <x:c r="O57" s="26" t="str">
        <x:v>S34;S41;S42;S43;A18</x:v>
      </x:c>
      <x:c r="P57" s="26"/>
      <x:c r="Q57" s="26"/>
      <x:c r="R57" s="26"/>
      <x:c r="S57" s="26"/>
      <x:c r="U57" s="1196"/>
      <x:c r="V57" s="1196"/>
      <x:c r="W57" s="1196"/>
      <x:c r="X57" s="1196"/>
    </x:row>
    <x:row r="58">
      <x:c r="A58" s="26" t="n">
        <x:v>14</x:v>
      </x:c>
      <x:c r="B58" s="26" t="n">
        <x:v>34</x:v>
      </x:c>
      <x:c r="C58" s="26" t="str">
        <x:v>25–34</x:v>
      </x:c>
      <x:c r="D58" s="962" t="n">
        <x:f>Assumptions!$E$151</x:f>
        <x:v>34.88</x:v>
      </x:c>
      <x:c r="E58" s="963" t="n">
        <x:f>Assumptions!$E$150</x:f>
        <x:v>1.027</x:v>
      </x:c>
      <x:c r="F58" s="932" t="n">
        <x:f>Assumptions!$E$138</x:f>
        <x:v>37</x:v>
      </x:c>
      <x:c r="G58" s="932" t="n">
        <x:f>Assumptions!$E$139</x:f>
        <x:v>52</x:v>
      </x:c>
      <x:c r="H58" s="932" t="n">
        <x:f>Assumptions!$E$137</x:f>
        <x:v>0.85</x:v>
      </x:c>
      <x:c r="I58" s="963" t="n">
        <x:f>(1+Assumptions!$E$140)^(A58-1)</x:f>
        <x:v>1.06698620092382</x:v>
      </x:c>
      <x:c r="J58" s="167" t="n">
        <x:f>D58*E58*F58*G58*I58</x:f>
        <x:v>73537.82663103654</x:v>
      </x:c>
      <x:c r="K58" s="964" t="n">
        <x:f>1/(1+Assumptions!$E$15)^A58</x:f>
        <x:v>0.7578750245882895</x:v>
      </x:c>
      <x:c r="L58" s="964" t="n">
        <x:f>1/(1+Assumptions!$E$53)^A58</x:f>
        <x:v>0.5774750828218058</x:v>
      </x:c>
      <x:c r="M58" s="964" t="n">
        <x:f>1/(1+Assumptions!$E$16)^A58</x:f>
        <x:v>0.3404610413631612</x:v>
      </x:c>
      <x:c r="N58" s="965" t="n">
        <x:f>(MIN(J58*1.01,Assumptions!$E$155)*Assumptions!$E$156+MAX(MIN(J58*1.01,Assumptions!$E$157)-Assumptions!$E$155,0)*Assumptions!$E$158+MAX(MIN(J58*1.01,Assumptions!$E$159)-Assumptions!$E$157,0)*Assumptions!$E$160+MAX(MIN(J58*1.01,Assumptions!$E$161)-Assumptions!$E$159,0)*Assumptions!$E$162+MAX(J58*1.01-Assumptions!$E$161,0)*Assumptions!$E$163+MIN(J58*1.01,Assumptions!$E$165)*Assumptions!$E$164)-(MIN(J58,Assumptions!$E$155)*Assumptions!$E$156+MAX(MIN(J58,Assumptions!$E$157)-Assumptions!$E$155,0)*Assumptions!$E$158+MAX(MIN(J58,Assumptions!$E$159)-Assumptions!$E$157,0)*Assumptions!$E$160+MAX(MIN(J58,Assumptions!$E$161)-Assumptions!$E$159,0)*Assumptions!$E$162+MAX(J58-Assumptions!$E$161,0)*Assumptions!$E$163+MIN(J58,Assumptions!$E$165)*Assumptions!$E$164)</x:f>
        <x:v>233.48259955354115</x:v>
      </x:c>
      <x:c r="O58" s="26" t="str">
        <x:v>S34;S41;S42;S43;A18</x:v>
      </x:c>
      <x:c r="P58" s="26"/>
      <x:c r="Q58" s="26"/>
      <x:c r="R58" s="26"/>
      <x:c r="S58" s="26"/>
      <x:c r="U58" s="1196"/>
      <x:c r="V58" s="1196"/>
      <x:c r="W58" s="1196"/>
      <x:c r="X58" s="1196"/>
    </x:row>
    <x:row r="59">
      <x:c r="A59" s="26" t="n">
        <x:v>15</x:v>
      </x:c>
      <x:c r="B59" s="26" t="n">
        <x:v>35</x:v>
      </x:c>
      <x:c r="C59" s="26" t="str">
        <x:v>35–44</x:v>
      </x:c>
      <x:c r="D59" s="962" t="n">
        <x:f>Assumptions!$E$152</x:f>
        <x:v>39.45</x:v>
      </x:c>
      <x:c r="E59" s="963" t="n">
        <x:f>Assumptions!$E$150</x:f>
        <x:v>1.027</x:v>
      </x:c>
      <x:c r="F59" s="932" t="n">
        <x:f>Assumptions!$E$138</x:f>
        <x:v>37</x:v>
      </x:c>
      <x:c r="G59" s="932" t="n">
        <x:f>Assumptions!$E$139</x:f>
        <x:v>52</x:v>
      </x:c>
      <x:c r="H59" s="932" t="n">
        <x:f>Assumptions!$E$137</x:f>
        <x:v>0.85</x:v>
      </x:c>
      <x:c r="I59" s="963" t="n">
        <x:f>(1+Assumptions!$E$140)^(A59-1)</x:f>
        <x:v>1.072321131928439</x:v>
      </x:c>
      <x:c r="J59" s="167" t="n">
        <x:f>D59*E59*F59*G59*I59</x:f>
        <x:v>83588.66390187395</x:v>
      </x:c>
      <x:c r="K59" s="964" t="n">
        <x:f>1/(1+Assumptions!$E$15)^A59</x:f>
        <x:v>0.7430147299885193</x:v>
      </x:c>
      <x:c r="L59" s="964" t="n">
        <x:f>1/(1+Assumptions!$E$53)^A59</x:f>
        <x:v>0.5552645027132748</x:v>
      </x:c>
      <x:c r="M59" s="964" t="n">
        <x:f>1/(1+Assumptions!$E$16)^A59</x:f>
        <x:v>0.31524170496588994</x:v>
      </x:c>
      <x:c r="N59" s="965" t="n">
        <x:f>(MIN(J59*1.01,Assumptions!$E$155)*Assumptions!$E$156+MAX(MIN(J59*1.01,Assumptions!$E$157)-Assumptions!$E$155,0)*Assumptions!$E$158+MAX(MIN(J59*1.01,Assumptions!$E$159)-Assumptions!$E$157,0)*Assumptions!$E$160+MAX(MIN(J59*1.01,Assumptions!$E$161)-Assumptions!$E$159,0)*Assumptions!$E$162+MAX(J59*1.01-Assumptions!$E$161,0)*Assumptions!$E$163+MIN(J59*1.01,Assumptions!$E$165)*Assumptions!$E$164)-(MIN(J59,Assumptions!$E$155)*Assumptions!$E$156+MAX(MIN(J59,Assumptions!$E$157)-Assumptions!$E$155,0)*Assumptions!$E$158+MAX(MIN(J59,Assumptions!$E$159)-Assumptions!$E$157,0)*Assumptions!$E$160+MAX(MIN(J59,Assumptions!$E$161)-Assumptions!$E$159,0)*Assumptions!$E$162+MAX(J59-Assumptions!$E$161,0)*Assumptions!$E$163+MIN(J59,Assumptions!$E$165)*Assumptions!$E$164)</x:f>
        <x:v>290.47060705901094</x:v>
      </x:c>
      <x:c r="O59" s="26" t="str">
        <x:v>S34;S41;S42;S43;A18</x:v>
      </x:c>
      <x:c r="P59" s="26"/>
      <x:c r="Q59" s="26"/>
      <x:c r="R59" s="26"/>
      <x:c r="S59" s="26"/>
      <x:c r="U59" s="1196"/>
      <x:c r="V59" s="1196"/>
      <x:c r="W59" s="1196"/>
      <x:c r="X59" s="1196"/>
    </x:row>
    <x:row r="60">
      <x:c r="A60" s="26" t="n">
        <x:v>16</x:v>
      </x:c>
      <x:c r="B60" s="26" t="n">
        <x:v>36</x:v>
      </x:c>
      <x:c r="C60" s="26" t="str">
        <x:v>35–44</x:v>
      </x:c>
      <x:c r="D60" s="962" t="n">
        <x:f>Assumptions!$E$152</x:f>
        <x:v>39.45</x:v>
      </x:c>
      <x:c r="E60" s="963" t="n">
        <x:f>Assumptions!$E$150</x:f>
        <x:v>1.027</x:v>
      </x:c>
      <x:c r="F60" s="932" t="n">
        <x:f>Assumptions!$E$138</x:f>
        <x:v>37</x:v>
      </x:c>
      <x:c r="G60" s="932" t="n">
        <x:f>Assumptions!$E$139</x:f>
        <x:v>52</x:v>
      </x:c>
      <x:c r="H60" s="932" t="n">
        <x:f>Assumptions!$E$137</x:f>
        <x:v>0.85</x:v>
      </x:c>
      <x:c r="I60" s="963" t="n">
        <x:f>(1+Assumptions!$E$140)^(A60-1)</x:f>
        <x:v>1.0776827375880809</x:v>
      </x:c>
      <x:c r="J60" s="167" t="n">
        <x:f>D60*E60*F60*G60*I60</x:f>
        <x:v>84006.6072213833</x:v>
      </x:c>
      <x:c r="K60" s="964" t="n">
        <x:f>1/(1+Assumptions!$E$15)^A60</x:f>
        <x:v>0.7284458137142344</x:v>
      </x:c>
      <x:c r="L60" s="964" t="n">
        <x:f>1/(1+Assumptions!$E$53)^A60</x:f>
        <x:v>0.533908175685841</x:v>
      </x:c>
      <x:c r="M60" s="964" t="n">
        <x:f>1/(1+Assumptions!$E$16)^A60</x:f>
        <x:v>0.2918904675610092</x:v>
      </x:c>
      <x:c r="N60" s="965" t="n">
        <x:f>(MIN(J60*1.01,Assumptions!$E$155)*Assumptions!$E$156+MAX(MIN(J60*1.01,Assumptions!$E$157)-Assumptions!$E$155,0)*Assumptions!$E$158+MAX(MIN(J60*1.01,Assumptions!$E$159)-Assumptions!$E$157,0)*Assumptions!$E$160+MAX(MIN(J60*1.01,Assumptions!$E$161)-Assumptions!$E$159,0)*Assumptions!$E$162+MAX(J60*1.01-Assumptions!$E$161,0)*Assumptions!$E$163+MIN(J60*1.01,Assumptions!$E$165)*Assumptions!$E$164)-(MIN(J60,Assumptions!$E$155)*Assumptions!$E$156+MAX(MIN(J60,Assumptions!$E$157)-Assumptions!$E$155,0)*Assumptions!$E$158+MAX(MIN(J60,Assumptions!$E$159)-Assumptions!$E$157,0)*Assumptions!$E$160+MAX(MIN(J60,Assumptions!$E$161)-Assumptions!$E$159,0)*Assumptions!$E$162+MAX(J60-Assumptions!$E$161,0)*Assumptions!$E$163+MIN(J60,Assumptions!$E$165)*Assumptions!$E$164)</x:f>
        <x:v>291.92296009430356</x:v>
      </x:c>
      <x:c r="O60" s="26" t="str">
        <x:v>S34;S41;S42;S43;A18</x:v>
      </x:c>
      <x:c r="P60" s="26"/>
      <x:c r="Q60" s="26"/>
      <x:c r="R60" s="26"/>
      <x:c r="S60" s="26"/>
      <x:c r="U60" s="1196"/>
      <x:c r="V60" s="1196"/>
      <x:c r="W60" s="1196"/>
      <x:c r="X60" s="1196"/>
    </x:row>
    <x:row r="61">
      <x:c r="A61" s="26" t="n">
        <x:v>17</x:v>
      </x:c>
      <x:c r="B61" s="26" t="n">
        <x:v>37</x:v>
      </x:c>
      <x:c r="C61" s="26" t="str">
        <x:v>35–44</x:v>
      </x:c>
      <x:c r="D61" s="962" t="n">
        <x:f>Assumptions!$E$152</x:f>
        <x:v>39.45</x:v>
      </x:c>
      <x:c r="E61" s="963" t="n">
        <x:f>Assumptions!$E$150</x:f>
        <x:v>1.027</x:v>
      </x:c>
      <x:c r="F61" s="932" t="n">
        <x:f>Assumptions!$E$138</x:f>
        <x:v>37</x:v>
      </x:c>
      <x:c r="G61" s="932" t="n">
        <x:f>Assumptions!$E$139</x:f>
        <x:v>52</x:v>
      </x:c>
      <x:c r="H61" s="932" t="n">
        <x:f>Assumptions!$E$137</x:f>
        <x:v>0.85</x:v>
      </x:c>
      <x:c r="I61" s="963" t="n">
        <x:f>(1+Assumptions!$E$140)^(A61-1)</x:f>
        <x:v>1.0830711512760212</x:v>
      </x:c>
      <x:c r="J61" s="167" t="n">
        <x:f>D61*E61*F61*G61*I61</x:f>
        <x:v>84426.6402574902</x:v>
      </x:c>
      <x:c r="K61" s="964" t="n">
        <x:f>1/(1+Assumptions!$E$15)^A61</x:f>
        <x:v>0.7141625624649357</x:v>
      </x:c>
      <x:c r="L61" s="964" t="n">
        <x:f>1/(1+Assumptions!$E$53)^A61</x:f>
        <x:v>0.5133732458517702</x:v>
      </x:c>
      <x:c r="M61" s="964" t="n">
        <x:f>1/(1+Assumptions!$E$16)^A61</x:f>
        <x:v>0.27026895144537894</x:v>
      </x:c>
      <x:c r="N61" s="965" t="n">
        <x:f>(MIN(J61*1.01,Assumptions!$E$155)*Assumptions!$E$156+MAX(MIN(J61*1.01,Assumptions!$E$157)-Assumptions!$E$155,0)*Assumptions!$E$158+MAX(MIN(J61*1.01,Assumptions!$E$159)-Assumptions!$E$157,0)*Assumptions!$E$160+MAX(MIN(J61*1.01,Assumptions!$E$161)-Assumptions!$E$159,0)*Assumptions!$E$162+MAX(J61*1.01-Assumptions!$E$161,0)*Assumptions!$E$163+MIN(J61*1.01,Assumptions!$E$165)*Assumptions!$E$164)-(MIN(J61,Assumptions!$E$155)*Assumptions!$E$156+MAX(MIN(J61,Assumptions!$E$157)-Assumptions!$E$155,0)*Assumptions!$E$158+MAX(MIN(J61,Assumptions!$E$159)-Assumptions!$E$157,0)*Assumptions!$E$160+MAX(MIN(J61,Assumptions!$E$161)-Assumptions!$E$159,0)*Assumptions!$E$162+MAX(J61-Assumptions!$E$161,0)*Assumptions!$E$163+MIN(J61,Assumptions!$E$165)*Assumptions!$E$164)</x:f>
        <x:v>293.38257489477473</x:v>
      </x:c>
      <x:c r="O61" s="26" t="str">
        <x:v>S34;S41;S42;S43;A18</x:v>
      </x:c>
      <x:c r="P61" s="26"/>
      <x:c r="Q61" s="26"/>
      <x:c r="R61" s="26"/>
      <x:c r="S61" s="26"/>
      <x:c r="U61" s="1196"/>
      <x:c r="V61" s="1196"/>
      <x:c r="W61" s="1196"/>
      <x:c r="X61" s="1196"/>
    </x:row>
    <x:row r="62">
      <x:c r="A62" s="26" t="n">
        <x:v>18</x:v>
      </x:c>
      <x:c r="B62" s="26" t="n">
        <x:v>38</x:v>
      </x:c>
      <x:c r="C62" s="26" t="str">
        <x:v>35–44</x:v>
      </x:c>
      <x:c r="D62" s="962" t="n">
        <x:f>Assumptions!$E$152</x:f>
        <x:v>39.45</x:v>
      </x:c>
      <x:c r="E62" s="963" t="n">
        <x:f>Assumptions!$E$150</x:f>
        <x:v>1.027</x:v>
      </x:c>
      <x:c r="F62" s="932" t="n">
        <x:f>Assumptions!$E$138</x:f>
        <x:v>37</x:v>
      </x:c>
      <x:c r="G62" s="932" t="n">
        <x:f>Assumptions!$E$139</x:f>
        <x:v>52</x:v>
      </x:c>
      <x:c r="H62" s="932" t="n">
        <x:f>Assumptions!$E$137</x:f>
        <x:v>0.85</x:v>
      </x:c>
      <x:c r="I62" s="963" t="n">
        <x:f>(1+Assumptions!$E$140)^(A62-1)</x:f>
        <x:v>1.0884865070324012</x:v>
      </x:c>
      <x:c r="J62" s="167" t="n">
        <x:f>D62*E62*F62*G62*I62</x:f>
        <x:v>84848.77345877765</x:v>
      </x:c>
      <x:c r="K62" s="964" t="n">
        <x:f>1/(1+Assumptions!$E$15)^A62</x:f>
        <x:v>0.7001593749656233</x:v>
      </x:c>
      <x:c r="L62" s="964" t="n">
        <x:f>1/(1+Assumptions!$E$53)^A62</x:f>
        <x:v>0.4936281210113175</x:v>
      </x:c>
      <x:c r="M62" s="964" t="n">
        <x:f>1/(1+Assumptions!$E$16)^A62</x:f>
        <x:v>0.25024902911609154</x:v>
      </x:c>
      <x:c r="N62" s="965" t="n">
        <x:f>(MIN(J62*1.01,Assumptions!$E$155)*Assumptions!$E$156+MAX(MIN(J62*1.01,Assumptions!$E$157)-Assumptions!$E$155,0)*Assumptions!$E$158+MAX(MIN(J62*1.01,Assumptions!$E$159)-Assumptions!$E$157,0)*Assumptions!$E$160+MAX(MIN(J62*1.01,Assumptions!$E$161)-Assumptions!$E$159,0)*Assumptions!$E$162+MAX(J62*1.01-Assumptions!$E$161,0)*Assumptions!$E$163+MIN(J62*1.01,Assumptions!$E$165)*Assumptions!$E$164)-(MIN(J62,Assumptions!$E$155)*Assumptions!$E$156+MAX(MIN(J62,Assumptions!$E$157)-Assumptions!$E$155,0)*Assumptions!$E$158+MAX(MIN(J62,Assumptions!$E$159)-Assumptions!$E$157,0)*Assumptions!$E$160+MAX(MIN(J62,Assumptions!$E$161)-Assumptions!$E$159,0)*Assumptions!$E$162+MAX(J62-Assumptions!$E$161,0)*Assumptions!$E$163+MIN(J62,Assumptions!$E$165)*Assumptions!$E$164)</x:f>
        <x:v>294.8494877692501</x:v>
      </x:c>
      <x:c r="O62" s="26" t="str">
        <x:v>S34;S41;S42;S43;A18</x:v>
      </x:c>
      <x:c r="P62" s="26"/>
      <x:c r="Q62" s="26"/>
      <x:c r="R62" s="26"/>
      <x:c r="S62" s="26"/>
      <x:c r="U62" s="1196"/>
      <x:c r="V62" s="1196"/>
      <x:c r="W62" s="1196"/>
      <x:c r="X62" s="1196"/>
    </x:row>
    <x:row r="63">
      <x:c r="A63" s="26" t="n">
        <x:v>19</x:v>
      </x:c>
      <x:c r="B63" s="26" t="n">
        <x:v>39</x:v>
      </x:c>
      <x:c r="C63" s="26" t="str">
        <x:v>35–44</x:v>
      </x:c>
      <x:c r="D63" s="962" t="n">
        <x:f>Assumptions!$E$152</x:f>
        <x:v>39.45</x:v>
      </x:c>
      <x:c r="E63" s="963" t="n">
        <x:f>Assumptions!$E$150</x:f>
        <x:v>1.027</x:v>
      </x:c>
      <x:c r="F63" s="932" t="n">
        <x:f>Assumptions!$E$138</x:f>
        <x:v>37</x:v>
      </x:c>
      <x:c r="G63" s="932" t="n">
        <x:f>Assumptions!$E$139</x:f>
        <x:v>52</x:v>
      </x:c>
      <x:c r="H63" s="932" t="n">
        <x:f>Assumptions!$E$137</x:f>
        <x:v>0.85</x:v>
      </x:c>
      <x:c r="I63" s="963" t="n">
        <x:f>(1+Assumptions!$E$140)^(A63-1)</x:f>
        <x:v>1.0939289395675629</x:v>
      </x:c>
      <x:c r="J63" s="167" t="n">
        <x:f>D63*E63*F63*G63*I63</x:f>
        <x:v>85273.01732607151</x:v>
      </x:c>
      <x:c r="K63" s="964" t="n">
        <x:f>1/(1+Assumptions!$E$15)^A63</x:f>
        <x:v>0.686430759770219</x:v>
      </x:c>
      <x:c r="L63" s="964" t="n">
        <x:f>1/(1+Assumptions!$E$53)^A63</x:f>
        <x:v>0.47464242404934376</x:v>
      </x:c>
      <x:c r="M63" s="964" t="n">
        <x:f>1/(1+Assumptions!$E$16)^A63</x:f>
        <x:v>0.23171206399638106</x:v>
      </x:c>
      <x:c r="N63" s="965" t="n">
        <x:f>(MIN(J63*1.01,Assumptions!$E$155)*Assumptions!$E$156+MAX(MIN(J63*1.01,Assumptions!$E$157)-Assumptions!$E$155,0)*Assumptions!$E$158+MAX(MIN(J63*1.01,Assumptions!$E$159)-Assumptions!$E$157,0)*Assumptions!$E$160+MAX(MIN(J63*1.01,Assumptions!$E$161)-Assumptions!$E$159,0)*Assumptions!$E$162+MAX(J63*1.01-Assumptions!$E$161,0)*Assumptions!$E$163+MIN(J63*1.01,Assumptions!$E$165)*Assumptions!$E$164)-(MIN(J63,Assumptions!$E$155)*Assumptions!$E$156+MAX(MIN(J63,Assumptions!$E$157)-Assumptions!$E$155,0)*Assumptions!$E$158+MAX(MIN(J63,Assumptions!$E$159)-Assumptions!$E$157,0)*Assumptions!$E$160+MAX(MIN(J63,Assumptions!$E$161)-Assumptions!$E$159,0)*Assumptions!$E$162+MAX(J63-Assumptions!$E$161,0)*Assumptions!$E$163+MIN(J63,Assumptions!$E$165)*Assumptions!$E$164)</x:f>
        <x:v>296.3237352080978</x:v>
      </x:c>
      <x:c r="O63" s="26" t="str">
        <x:v>S34;S41;S42;S43;A18</x:v>
      </x:c>
      <x:c r="P63" s="26"/>
      <x:c r="Q63" s="26"/>
      <x:c r="R63" s="26"/>
      <x:c r="S63" s="26"/>
      <x:c r="U63" s="1196"/>
      <x:c r="V63" s="1196"/>
      <x:c r="W63" s="1196"/>
      <x:c r="X63" s="1196"/>
    </x:row>
    <x:row r="64">
      <x:c r="A64" s="26" t="n">
        <x:v>20</x:v>
      </x:c>
      <x:c r="B64" s="26" t="n">
        <x:v>40</x:v>
      </x:c>
      <x:c r="C64" s="26" t="str">
        <x:v>35–44</x:v>
      </x:c>
      <x:c r="D64" s="962" t="n">
        <x:f>Assumptions!$E$152</x:f>
        <x:v>39.45</x:v>
      </x:c>
      <x:c r="E64" s="963" t="n">
        <x:f>Assumptions!$E$150</x:f>
        <x:v>1.027</x:v>
      </x:c>
      <x:c r="F64" s="932" t="n">
        <x:f>Assumptions!$E$138</x:f>
        <x:v>37</x:v>
      </x:c>
      <x:c r="G64" s="932" t="n">
        <x:f>Assumptions!$E$139</x:f>
        <x:v>52</x:v>
      </x:c>
      <x:c r="H64" s="932" t="n">
        <x:f>Assumptions!$E$137</x:f>
        <x:v>0.85</x:v>
      </x:c>
      <x:c r="I64" s="963" t="n">
        <x:f>(1+Assumptions!$E$140)^(A64-1)</x:f>
        <x:v>1.0993985842654006</x:v>
      </x:c>
      <x:c r="J64" s="167" t="n">
        <x:f>D64*E64*F64*G64*I64</x:f>
        <x:v>85699.38241270186</x:v>
      </x:c>
      <x:c r="K64" s="964" t="n">
        <x:f>1/(1+Assumptions!$E$15)^A64</x:f>
        <x:v>0.6729713331080578</x:v>
      </x:c>
      <x:c r="L64" s="964" t="n">
        <x:f>1/(1+Assumptions!$E$53)^A64</x:f>
        <x:v>0.45638694620129205</x:v>
      </x:c>
      <x:c r="M64" s="964" t="n">
        <x:f>1/(1+Assumptions!$E$16)^A64</x:f>
        <x:v>0.21454820740405653</x:v>
      </x:c>
      <x:c r="N64" s="965" t="n">
        <x:f>(MIN(J64*1.01,Assumptions!$E$155)*Assumptions!$E$156+MAX(MIN(J64*1.01,Assumptions!$E$157)-Assumptions!$E$155,0)*Assumptions!$E$158+MAX(MIN(J64*1.01,Assumptions!$E$159)-Assumptions!$E$157,0)*Assumptions!$E$160+MAX(MIN(J64*1.01,Assumptions!$E$161)-Assumptions!$E$159,0)*Assumptions!$E$162+MAX(J64*1.01-Assumptions!$E$161,0)*Assumptions!$E$163+MIN(J64*1.01,Assumptions!$E$165)*Assumptions!$E$164)-(MIN(J64,Assumptions!$E$155)*Assumptions!$E$156+MAX(MIN(J64,Assumptions!$E$157)-Assumptions!$E$155,0)*Assumptions!$E$158+MAX(MIN(J64,Assumptions!$E$159)-Assumptions!$E$157,0)*Assumptions!$E$160+MAX(MIN(J64,Assumptions!$E$161)-Assumptions!$E$159,0)*Assumptions!$E$162+MAX(J64-Assumptions!$E$161,0)*Assumptions!$E$163+MIN(J64,Assumptions!$E$165)*Assumptions!$E$164)</x:f>
        <x:v>297.80535388413773</x:v>
      </x:c>
      <x:c r="O64" s="26" t="str">
        <x:v>S34;S41;S42;S43;A18</x:v>
      </x:c>
      <x:c r="P64" s="26"/>
      <x:c r="Q64" s="26"/>
      <x:c r="R64" s="26"/>
      <x:c r="S64" s="26"/>
      <x:c r="U64" s="1196"/>
      <x:c r="V64" s="1196"/>
      <x:c r="W64" s="1196"/>
      <x:c r="X64" s="1196"/>
    </x:row>
    <x:row r="65">
      <x:c r="A65" s="26" t="n">
        <x:v>21</x:v>
      </x:c>
      <x:c r="B65" s="26" t="n">
        <x:v>41</x:v>
      </x:c>
      <x:c r="C65" s="26" t="str">
        <x:v>35–44</x:v>
      </x:c>
      <x:c r="D65" s="962" t="n">
        <x:f>Assumptions!$E$152</x:f>
        <x:v>39.45</x:v>
      </x:c>
      <x:c r="E65" s="963" t="n">
        <x:f>Assumptions!$E$150</x:f>
        <x:v>1.027</x:v>
      </x:c>
      <x:c r="F65" s="932" t="n">
        <x:f>Assumptions!$E$138</x:f>
        <x:v>37</x:v>
      </x:c>
      <x:c r="G65" s="932" t="n">
        <x:f>Assumptions!$E$139</x:f>
        <x:v>52</x:v>
      </x:c>
      <x:c r="H65" s="932" t="n">
        <x:f>Assumptions!$E$137</x:f>
        <x:v>0.85</x:v>
      </x:c>
      <x:c r="I65" s="963" t="n">
        <x:f>(1+Assumptions!$E$140)^(A65-1)</x:f>
        <x:v>1.1048955771867275</x:v>
      </x:c>
      <x:c r="J65" s="167" t="n">
        <x:f>D65*E65*F65*G65*I65</x:f>
        <x:v>86127.87932476537</x:v>
      </x:c>
      <x:c r="K65" s="964" t="n">
        <x:f>1/(1+Assumptions!$E$15)^A65</x:f>
        <x:v>0.6597758167726057</x:v>
      </x:c>
      <x:c r="L65" s="964" t="n">
        <x:f>1/(1+Assumptions!$E$53)^A65</x:f>
        <x:v>0.43883360211662686</x:v>
      </x:c>
      <x:c r="M65" s="964" t="n">
        <x:f>1/(1+Assumptions!$E$16)^A65</x:f>
        <x:v>0.19865574759634863</x:v>
      </x:c>
      <x:c r="N65" s="965" t="n">
        <x:f>(MIN(J65*1.01,Assumptions!$E$155)*Assumptions!$E$156+MAX(MIN(J65*1.01,Assumptions!$E$157)-Assumptions!$E$155,0)*Assumptions!$E$158+MAX(MIN(J65*1.01,Assumptions!$E$159)-Assumptions!$E$157,0)*Assumptions!$E$160+MAX(MIN(J65*1.01,Assumptions!$E$161)-Assumptions!$E$159,0)*Assumptions!$E$162+MAX(J65*1.01-Assumptions!$E$161,0)*Assumptions!$E$163+MIN(J65*1.01,Assumptions!$E$165)*Assumptions!$E$164)-(MIN(J65,Assumptions!$E$155)*Assumptions!$E$156+MAX(MIN(J65,Assumptions!$E$157)-Assumptions!$E$155,0)*Assumptions!$E$158+MAX(MIN(J65,Assumptions!$E$159)-Assumptions!$E$157,0)*Assumptions!$E$160+MAX(MIN(J65,Assumptions!$E$161)-Assumptions!$E$159,0)*Assumptions!$E$162+MAX(J65-Assumptions!$E$161,0)*Assumptions!$E$163+MIN(J65,Assumptions!$E$165)*Assumptions!$E$164)</x:f>
        <x:v>299.29438065356226</x:v>
      </x:c>
      <x:c r="O65" s="26" t="str">
        <x:v>S34;S41;S42;S43;A18</x:v>
      </x:c>
      <x:c r="P65" s="26"/>
      <x:c r="Q65" s="26"/>
      <x:c r="R65" s="26"/>
      <x:c r="S65" s="26"/>
      <x:c r="U65" s="1196"/>
      <x:c r="V65" s="1196"/>
      <x:c r="W65" s="1196"/>
      <x:c r="X65" s="1196"/>
    </x:row>
    <x:row r="66">
      <x:c r="A66" s="26" t="n">
        <x:v>22</x:v>
      </x:c>
      <x:c r="B66" s="26" t="n">
        <x:v>42</x:v>
      </x:c>
      <x:c r="C66" s="26" t="str">
        <x:v>35–44</x:v>
      </x:c>
      <x:c r="D66" s="962" t="n">
        <x:f>Assumptions!$E$152</x:f>
        <x:v>39.45</x:v>
      </x:c>
      <x:c r="E66" s="963" t="n">
        <x:f>Assumptions!$E$150</x:f>
        <x:v>1.027</x:v>
      </x:c>
      <x:c r="F66" s="932" t="n">
        <x:f>Assumptions!$E$138</x:f>
        <x:v>37</x:v>
      </x:c>
      <x:c r="G66" s="932" t="n">
        <x:f>Assumptions!$E$139</x:f>
        <x:v>52</x:v>
      </x:c>
      <x:c r="H66" s="932" t="n">
        <x:f>Assumptions!$E$137</x:f>
        <x:v>0.85</x:v>
      </x:c>
      <x:c r="I66" s="963" t="n">
        <x:f>(1+Assumptions!$E$140)^(A66-1)</x:f>
        <x:v>1.1104200550726608</x:v>
      </x:c>
      <x:c r="J66" s="167" t="n">
        <x:f>D66*E66*F66*G66*I66</x:f>
        <x:v>86558.51872138916</x:v>
      </x:c>
      <x:c r="K66" s="964" t="n">
        <x:f>1/(1+Assumptions!$E$15)^A66</x:f>
        <x:v>0.6468390360515741</x:v>
      </x:c>
      <x:c r="L66" s="964" t="n">
        <x:f>1/(1+Assumptions!$E$53)^A66</x:f>
        <x:v>0.4219553866506028</x:v>
      </x:c>
      <x:c r="M66" s="964" t="n">
        <x:f>1/(1+Assumptions!$E$16)^A66</x:f>
        <x:v>0.1839405070336561</x:v>
      </x:c>
      <x:c r="N66" s="965" t="n">
        <x:f>(MIN(J66*1.01,Assumptions!$E$155)*Assumptions!$E$156+MAX(MIN(J66*1.01,Assumptions!$E$157)-Assumptions!$E$155,0)*Assumptions!$E$158+MAX(MIN(J66*1.01,Assumptions!$E$159)-Assumptions!$E$157,0)*Assumptions!$E$160+MAX(MIN(J66*1.01,Assumptions!$E$161)-Assumptions!$E$159,0)*Assumptions!$E$162+MAX(J66*1.01-Assumptions!$E$161,0)*Assumptions!$E$163+MIN(J66*1.01,Assumptions!$E$165)*Assumptions!$E$164)-(MIN(J66,Assumptions!$E$155)*Assumptions!$E$156+MAX(MIN(J66,Assumptions!$E$157)-Assumptions!$E$155,0)*Assumptions!$E$158+MAX(MIN(J66,Assumptions!$E$159)-Assumptions!$E$157,0)*Assumptions!$E$160+MAX(MIN(J66,Assumptions!$E$161)-Assumptions!$E$159,0)*Assumptions!$E$162+MAX(J66-Assumptions!$E$161,0)*Assumptions!$E$163+MIN(J66,Assumptions!$E$165)*Assumptions!$E$164)</x:f>
        <x:v>300.7908525568273</x:v>
      </x:c>
      <x:c r="O66" s="26" t="str">
        <x:v>S34;S41;S42;S43;A18</x:v>
      </x:c>
      <x:c r="P66" s="26"/>
      <x:c r="Q66" s="26"/>
      <x:c r="R66" s="26"/>
      <x:c r="S66" s="26"/>
      <x:c r="U66" s="1196"/>
      <x:c r="V66" s="1196"/>
      <x:c r="W66" s="1196"/>
      <x:c r="X66" s="1196"/>
    </x:row>
    <x:row r="67">
      <x:c r="A67" s="26" t="n">
        <x:v>23</x:v>
      </x:c>
      <x:c r="B67" s="26" t="n">
        <x:v>43</x:v>
      </x:c>
      <x:c r="C67" s="26" t="str">
        <x:v>35–44</x:v>
      </x:c>
      <x:c r="D67" s="962" t="n">
        <x:f>Assumptions!$E$152</x:f>
        <x:v>39.45</x:v>
      </x:c>
      <x:c r="E67" s="963" t="n">
        <x:f>Assumptions!$E$150</x:f>
        <x:v>1.027</x:v>
      </x:c>
      <x:c r="F67" s="932" t="n">
        <x:f>Assumptions!$E$138</x:f>
        <x:v>37</x:v>
      </x:c>
      <x:c r="G67" s="932" t="n">
        <x:f>Assumptions!$E$139</x:f>
        <x:v>52</x:v>
      </x:c>
      <x:c r="H67" s="932" t="n">
        <x:f>Assumptions!$E$137</x:f>
        <x:v>0.85</x:v>
      </x:c>
      <x:c r="I67" s="963" t="n">
        <x:f>(1+Assumptions!$E$140)^(A67-1)</x:f>
        <x:v>1.115972155348024</x:v>
      </x:c>
      <x:c r="J67" s="167" t="n">
        <x:f>D67*E67*F67*G67*I67</x:f>
        <x:v>86991.3113149961</x:v>
      </x:c>
      <x:c r="K67" s="964" t="n">
        <x:f>1/(1+Assumptions!$E$15)^A67</x:f>
        <x:v>0.6341559176976218</x:v>
      </x:c>
      <x:c r="L67" s="964" t="n">
        <x:f>1/(1+Assumptions!$E$53)^A67</x:f>
        <x:v>0.4057263333178873</x:v>
      </x:c>
      <x:c r="M67" s="964" t="n">
        <x:f>1/(1+Assumptions!$E$16)^A67</x:f>
        <x:v>0.17031528429042234</x:v>
      </x:c>
      <x:c r="N67" s="965" t="n">
        <x:f>(MIN(J67*1.01,Assumptions!$E$155)*Assumptions!$E$156+MAX(MIN(J67*1.01,Assumptions!$E$157)-Assumptions!$E$155,0)*Assumptions!$E$158+MAX(MIN(J67*1.01,Assumptions!$E$159)-Assumptions!$E$157,0)*Assumptions!$E$160+MAX(MIN(J67*1.01,Assumptions!$E$161)-Assumptions!$E$159,0)*Assumptions!$E$162+MAX(J67*1.01-Assumptions!$E$161,0)*Assumptions!$E$163+MIN(J67*1.01,Assumptions!$E$165)*Assumptions!$E$164)-(MIN(J67,Assumptions!$E$155)*Assumptions!$E$156+MAX(MIN(J67,Assumptions!$E$157)-Assumptions!$E$155,0)*Assumptions!$E$158+MAX(MIN(J67,Assumptions!$E$159)-Assumptions!$E$157,0)*Assumptions!$E$160+MAX(MIN(J67,Assumptions!$E$161)-Assumptions!$E$159,0)*Assumptions!$E$162+MAX(J67-Assumptions!$E$161,0)*Assumptions!$E$163+MIN(J67,Assumptions!$E$165)*Assumptions!$E$164)</x:f>
        <x:v>302.2948068196092</x:v>
      </x:c>
      <x:c r="O67" s="26" t="str">
        <x:v>S34;S41;S42;S43;A18</x:v>
      </x:c>
      <x:c r="P67" s="26"/>
      <x:c r="Q67" s="26"/>
      <x:c r="R67" s="26"/>
      <x:c r="S67" s="26"/>
      <x:c r="U67" s="1196"/>
      <x:c r="V67" s="1196"/>
      <x:c r="W67" s="1196"/>
      <x:c r="X67" s="1196"/>
    </x:row>
    <x:row r="68">
      <x:c r="A68" s="26" t="n">
        <x:v>24</x:v>
      </x:c>
      <x:c r="B68" s="26" t="n">
        <x:v>44</x:v>
      </x:c>
      <x:c r="C68" s="26" t="str">
        <x:v>35–44</x:v>
      </x:c>
      <x:c r="D68" s="962" t="n">
        <x:f>Assumptions!$E$152</x:f>
        <x:v>39.45</x:v>
      </x:c>
      <x:c r="E68" s="963" t="n">
        <x:f>Assumptions!$E$150</x:f>
        <x:v>1.027</x:v>
      </x:c>
      <x:c r="F68" s="932" t="n">
        <x:f>Assumptions!$E$138</x:f>
        <x:v>37</x:v>
      </x:c>
      <x:c r="G68" s="932" t="n">
        <x:f>Assumptions!$E$139</x:f>
        <x:v>52</x:v>
      </x:c>
      <x:c r="H68" s="932" t="n">
        <x:f>Assumptions!$E$137</x:f>
        <x:v>0.85</x:v>
      </x:c>
      <x:c r="I68" s="963" t="n">
        <x:f>(1+Assumptions!$E$140)^(A68-1)</x:f>
        <x:v>1.1215520161247639</x:v>
      </x:c>
      <x:c r="J68" s="167" t="n">
        <x:f>D68*E68*F68*G68*I68</x:f>
        <x:v>87426.26787157106</x:v>
      </x:c>
      <x:c r="K68" s="964" t="n">
        <x:f>1/(1+Assumptions!$E$15)^A68</x:f>
        <x:v>0.6217214879388449</x:v>
      </x:c>
      <x:c r="L68" s="964" t="n">
        <x:f>1/(1+Assumptions!$E$53)^A68</x:f>
        <x:v>0.3901214743441224</x:v>
      </x:c>
      <x:c r="M68" s="964" t="n">
        <x:f>1/(1+Assumptions!$E$16)^A68</x:f>
        <x:v>0.1576993373059466</x:v>
      </x:c>
      <x:c r="N68" s="965" t="n">
        <x:f>(MIN(J68*1.01,Assumptions!$E$155)*Assumptions!$E$156+MAX(MIN(J68*1.01,Assumptions!$E$157)-Assumptions!$E$155,0)*Assumptions!$E$158+MAX(MIN(J68*1.01,Assumptions!$E$159)-Assumptions!$E$157,0)*Assumptions!$E$160+MAX(MIN(J68*1.01,Assumptions!$E$161)-Assumptions!$E$159,0)*Assumptions!$E$162+MAX(J68*1.01-Assumptions!$E$161,0)*Assumptions!$E$163+MIN(J68*1.01,Assumptions!$E$165)*Assumptions!$E$164)-(MIN(J68,Assumptions!$E$155)*Assumptions!$E$156+MAX(MIN(J68,Assumptions!$E$157)-Assumptions!$E$155,0)*Assumptions!$E$158+MAX(MIN(J68,Assumptions!$E$159)-Assumptions!$E$157,0)*Assumptions!$E$160+MAX(MIN(J68,Assumptions!$E$161)-Assumptions!$E$159,0)*Assumptions!$E$162+MAX(J68-Assumptions!$E$161,0)*Assumptions!$E$163+MIN(J68,Assumptions!$E$165)*Assumptions!$E$164)</x:f>
        <x:v>303.80628085371063</x:v>
      </x:c>
      <x:c r="O68" s="26" t="str">
        <x:v>S34;S41;S42;S43;A18</x:v>
      </x:c>
      <x:c r="P68" s="26"/>
      <x:c r="Q68" s="26"/>
      <x:c r="R68" s="26"/>
      <x:c r="S68" s="26"/>
      <x:c r="U68" s="1196"/>
      <x:c r="V68" s="1196"/>
      <x:c r="W68" s="1196"/>
      <x:c r="X68" s="1196"/>
    </x:row>
    <x:row r="69">
      <x:c r="A69" s="26" t="n">
        <x:v>25</x:v>
      </x:c>
      <x:c r="B69" s="26" t="n">
        <x:v>45</x:v>
      </x:c>
      <x:c r="C69" s="26" t="str">
        <x:v>45–54</x:v>
      </x:c>
      <x:c r="D69" s="962" t="n">
        <x:f>Assumptions!$E$153</x:f>
        <x:v>39.5</x:v>
      </x:c>
      <x:c r="E69" s="963" t="n">
        <x:f>Assumptions!$E$150</x:f>
        <x:v>1.027</x:v>
      </x:c>
      <x:c r="F69" s="932" t="n">
        <x:f>Assumptions!$E$138</x:f>
        <x:v>37</x:v>
      </x:c>
      <x:c r="G69" s="932" t="n">
        <x:f>Assumptions!$E$139</x:f>
        <x:v>52</x:v>
      </x:c>
      <x:c r="H69" s="932" t="n">
        <x:f>Assumptions!$E$137</x:f>
        <x:v>0.85</x:v>
      </x:c>
      <x:c r="I69" s="963" t="n">
        <x:f>(1+Assumptions!$E$140)^(A69-1)</x:f>
        <x:v>1.1271597762053878</x:v>
      </x:c>
      <x:c r="J69" s="167" t="n">
        <x:f>D69*E69*F69*G69*I69</x:f>
        <x:v>87974.75966620259</x:v>
      </x:c>
      <x:c r="K69" s="964" t="n">
        <x:f>1/(1+Assumptions!$E$15)^A69</x:f>
        <x:v>0.6095308705282794</x:v>
      </x:c>
      <x:c r="L69" s="964" t="n">
        <x:f>1/(1+Assumptions!$E$53)^A69</x:f>
        <x:v>0.37511680225396377</x:v>
      </x:c>
      <x:c r="M69" s="964" t="n">
        <x:f>1/(1+Assumptions!$E$16)^A69</x:f>
        <x:v>0.1460179049129135</x:v>
      </x:c>
      <x:c r="N69" s="965" t="n">
        <x:f>(MIN(J69*1.01,Assumptions!$E$155)*Assumptions!$E$156+MAX(MIN(J69*1.01,Assumptions!$E$157)-Assumptions!$E$155,0)*Assumptions!$E$158+MAX(MIN(J69*1.01,Assumptions!$E$159)-Assumptions!$E$157,0)*Assumptions!$E$160+MAX(MIN(J69*1.01,Assumptions!$E$161)-Assumptions!$E$159,0)*Assumptions!$E$162+MAX(J69*1.01-Assumptions!$E$161,0)*Assumptions!$E$163+MIN(J69*1.01,Assumptions!$E$165)*Assumptions!$E$164)-(MIN(J69,Assumptions!$E$155)*Assumptions!$E$156+MAX(MIN(J69,Assumptions!$E$157)-Assumptions!$E$155,0)*Assumptions!$E$158+MAX(MIN(J69,Assumptions!$E$159)-Assumptions!$E$157,0)*Assumptions!$E$160+MAX(MIN(J69,Assumptions!$E$161)-Assumptions!$E$159,0)*Assumptions!$E$162+MAX(J69-Assumptions!$E$161,0)*Assumptions!$E$163+MIN(J69,Assumptions!$E$165)*Assumptions!$E$164)</x:f>
        <x:v>305.71228984005575</x:v>
      </x:c>
      <x:c r="O69" s="26" t="str">
        <x:v>S34;S41;S42;S43;A18</x:v>
      </x:c>
      <x:c r="P69" s="26"/>
      <x:c r="Q69" s="26"/>
      <x:c r="R69" s="26"/>
      <x:c r="S69" s="26"/>
      <x:c r="U69" s="1196"/>
      <x:c r="V69" s="1196"/>
      <x:c r="W69" s="1196"/>
      <x:c r="X69" s="1196"/>
    </x:row>
    <x:row r="70">
      <x:c r="A70" s="26" t="n">
        <x:v>26</x:v>
      </x:c>
      <x:c r="B70" s="26" t="n">
        <x:v>46</x:v>
      </x:c>
      <x:c r="C70" s="26" t="str">
        <x:v>45–54</x:v>
      </x:c>
      <x:c r="D70" s="962" t="n">
        <x:f>Assumptions!$E$153</x:f>
        <x:v>39.5</x:v>
      </x:c>
      <x:c r="E70" s="963" t="n">
        <x:f>Assumptions!$E$150</x:f>
        <x:v>1.027</x:v>
      </x:c>
      <x:c r="F70" s="932" t="n">
        <x:f>Assumptions!$E$138</x:f>
        <x:v>37</x:v>
      </x:c>
      <x:c r="G70" s="932" t="n">
        <x:f>Assumptions!$E$139</x:f>
        <x:v>52</x:v>
      </x:c>
      <x:c r="H70" s="932" t="n">
        <x:f>Assumptions!$E$137</x:f>
        <x:v>0.85</x:v>
      </x:c>
      <x:c r="I70" s="963" t="n">
        <x:f>(1+Assumptions!$E$140)^(A70-1)</x:f>
        <x:v>1.1327955750864145</x:v>
      </x:c>
      <x:c r="J70" s="167" t="n">
        <x:f>D70*E70*F70*G70*I70</x:f>
        <x:v>88414.63346453359</x:v>
      </x:c>
      <x:c r="K70" s="964" t="n">
        <x:f>1/(1+Assumptions!$E$15)^A70</x:f>
        <x:v>0.5975792848316464</x:v>
      </x:c>
      <x:c r="L70" s="964" t="n">
        <x:f>1/(1+Assumptions!$E$53)^A70</x:f>
        <x:v>0.3606892329365037</x:v>
      </x:c>
      <x:c r="M70" s="964" t="n">
        <x:f>1/(1+Assumptions!$E$16)^A70</x:f>
        <x:v>0.13520176380825324</x:v>
      </x:c>
      <x:c r="N70" s="965" t="n">
        <x:f>(MIN(J70*1.01,Assumptions!$E$155)*Assumptions!$E$156+MAX(MIN(J70*1.01,Assumptions!$E$157)-Assumptions!$E$155,0)*Assumptions!$E$158+MAX(MIN(J70*1.01,Assumptions!$E$159)-Assumptions!$E$157,0)*Assumptions!$E$160+MAX(MIN(J70*1.01,Assumptions!$E$161)-Assumptions!$E$159,0)*Assumptions!$E$162+MAX(J70*1.01-Assumptions!$E$161,0)*Assumptions!$E$163+MIN(J70*1.01,Assumptions!$E$165)*Assumptions!$E$164)-(MIN(J70,Assumptions!$E$155)*Assumptions!$E$156+MAX(MIN(J70,Assumptions!$E$157)-Assumptions!$E$155,0)*Assumptions!$E$158+MAX(MIN(J70,Assumptions!$E$159)-Assumptions!$E$157,0)*Assumptions!$E$160+MAX(MIN(J70,Assumptions!$E$161)-Assumptions!$E$159,0)*Assumptions!$E$162+MAX(J70-Assumptions!$E$161,0)*Assumptions!$E$163+MIN(J70,Assumptions!$E$165)*Assumptions!$E$164)</x:f>
        <x:v>307.2408512892507</x:v>
      </x:c>
      <x:c r="O70" s="26" t="str">
        <x:v>S34;S41;S42;S43;A18</x:v>
      </x:c>
      <x:c r="P70" s="26"/>
      <x:c r="Q70" s="26"/>
      <x:c r="R70" s="26"/>
      <x:c r="S70" s="26"/>
      <x:c r="U70" s="1196"/>
      <x:c r="V70" s="1196"/>
      <x:c r="W70" s="1196"/>
      <x:c r="X70" s="1196"/>
    </x:row>
    <x:row r="71">
      <x:c r="A71" s="26" t="n">
        <x:v>27</x:v>
      </x:c>
      <x:c r="B71" s="26" t="n">
        <x:v>47</x:v>
      </x:c>
      <x:c r="C71" s="26" t="str">
        <x:v>45–54</x:v>
      </x:c>
      <x:c r="D71" s="962" t="n">
        <x:f>Assumptions!$E$153</x:f>
        <x:v>39.5</x:v>
      </x:c>
      <x:c r="E71" s="963" t="n">
        <x:f>Assumptions!$E$150</x:f>
        <x:v>1.027</x:v>
      </x:c>
      <x:c r="F71" s="932" t="n">
        <x:f>Assumptions!$E$138</x:f>
        <x:v>37</x:v>
      </x:c>
      <x:c r="G71" s="932" t="n">
        <x:f>Assumptions!$E$139</x:f>
        <x:v>52</x:v>
      </x:c>
      <x:c r="H71" s="932" t="n">
        <x:f>Assumptions!$E$137</x:f>
        <x:v>0.85</x:v>
      </x:c>
      <x:c r="I71" s="963" t="n">
        <x:f>(1+Assumptions!$E$140)^(A71-1)</x:f>
        <x:v>1.1384595529618464</x:v>
      </x:c>
      <x:c r="J71" s="167" t="n">
        <x:f>D71*E71*F71*G71*I71</x:f>
        <x:v>88856.70663185624</x:v>
      </x:c>
      <x:c r="K71" s="964" t="n">
        <x:f>1/(1+Assumptions!$E$15)^A71</x:f>
        <x:v>0.5858620439525946</x:v>
      </x:c>
      <x:c r="L71" s="964" t="n">
        <x:f>1/(1+Assumptions!$E$53)^A71</x:f>
        <x:v>0.3468165701312535</x:v>
      </x:c>
      <x:c r="M71" s="964" t="n">
        <x:f>1/(1+Assumptions!$E$16)^A71</x:f>
        <x:v>0.12518681834097523</x:v>
      </x:c>
      <x:c r="N71" s="965" t="n">
        <x:f>(MIN(J71*1.01,Assumptions!$E$155)*Assumptions!$E$156+MAX(MIN(J71*1.01,Assumptions!$E$157)-Assumptions!$E$155,0)*Assumptions!$E$158+MAX(MIN(J71*1.01,Assumptions!$E$159)-Assumptions!$E$157,0)*Assumptions!$E$160+MAX(MIN(J71*1.01,Assumptions!$E$161)-Assumptions!$E$159,0)*Assumptions!$E$162+MAX(J71*1.01-Assumptions!$E$161,0)*Assumptions!$E$163+MIN(J71*1.01,Assumptions!$E$165)*Assumptions!$E$164)-(MIN(J71,Assumptions!$E$155)*Assumptions!$E$156+MAX(MIN(J71,Assumptions!$E$157)-Assumptions!$E$155,0)*Assumptions!$E$158+MAX(MIN(J71,Assumptions!$E$159)-Assumptions!$E$157,0)*Assumptions!$E$160+MAX(MIN(J71,Assumptions!$E$161)-Assumptions!$E$159,0)*Assumptions!$E$162+MAX(J71-Assumptions!$E$161,0)*Assumptions!$E$163+MIN(J71,Assumptions!$E$165)*Assumptions!$E$164)</x:f>
        <x:v>308.7770555456955</x:v>
      </x:c>
      <x:c r="O71" s="26" t="str">
        <x:v>S34;S41;S42;S43;A18</x:v>
      </x:c>
      <x:c r="P71" s="26"/>
      <x:c r="Q71" s="26"/>
      <x:c r="R71" s="26"/>
      <x:c r="S71" s="26"/>
      <x:c r="U71" s="1196"/>
      <x:c r="V71" s="1196"/>
      <x:c r="W71" s="1196"/>
      <x:c r="X71" s="1196"/>
    </x:row>
    <x:row r="72">
      <x:c r="A72" s="26" t="n">
        <x:v>28</x:v>
      </x:c>
      <x:c r="B72" s="26" t="n">
        <x:v>48</x:v>
      </x:c>
      <x:c r="C72" s="26" t="str">
        <x:v>45–54</x:v>
      </x:c>
      <x:c r="D72" s="962" t="n">
        <x:f>Assumptions!$E$153</x:f>
        <x:v>39.5</x:v>
      </x:c>
      <x:c r="E72" s="963" t="n">
        <x:f>Assumptions!$E$150</x:f>
        <x:v>1.027</x:v>
      </x:c>
      <x:c r="F72" s="932" t="n">
        <x:f>Assumptions!$E$138</x:f>
        <x:v>37</x:v>
      </x:c>
      <x:c r="G72" s="932" t="n">
        <x:f>Assumptions!$E$139</x:f>
        <x:v>52</x:v>
      </x:c>
      <x:c r="H72" s="932" t="n">
        <x:f>Assumptions!$E$137</x:f>
        <x:v>0.85</x:v>
      </x:c>
      <x:c r="I72" s="963" t="n">
        <x:f>(1+Assumptions!$E$140)^(A72-1)</x:f>
        <x:v>1.1441518507266555</x:v>
      </x:c>
      <x:c r="J72" s="167" t="n">
        <x:f>D72*E72*F72*G72*I72</x:f>
        <x:v>89300.99016501552</x:v>
      </x:c>
      <x:c r="K72" s="964" t="n">
        <x:f>1/(1+Assumptions!$E$15)^A72</x:f>
        <x:v>0.5743745528947004</x:v>
      </x:c>
      <x:c r="L72" s="964" t="n">
        <x:f>1/(1+Assumptions!$E$53)^A72</x:f>
        <x:v>0.3334774712800514</x:v>
      </x:c>
      <x:c r="M72" s="964" t="n">
        <x:f>1/(1+Assumptions!$E$16)^A72</x:f>
        <x:v>0.11591372068608817</x:v>
      </x:c>
      <x:c r="N72" s="965" t="n">
        <x:f>(MIN(J72*1.01,Assumptions!$E$155)*Assumptions!$E$156+MAX(MIN(J72*1.01,Assumptions!$E$157)-Assumptions!$E$155,0)*Assumptions!$E$158+MAX(MIN(J72*1.01,Assumptions!$E$159)-Assumptions!$E$157,0)*Assumptions!$E$160+MAX(MIN(J72*1.01,Assumptions!$E$161)-Assumptions!$E$159,0)*Assumptions!$E$162+MAX(J72*1.01-Assumptions!$E$161,0)*Assumptions!$E$163+MIN(J72*1.01,Assumptions!$E$165)*Assumptions!$E$164)-(MIN(J72,Assumptions!$E$155)*Assumptions!$E$156+MAX(MIN(J72,Assumptions!$E$157)-Assumptions!$E$155,0)*Assumptions!$E$158+MAX(MIN(J72,Assumptions!$E$159)-Assumptions!$E$157,0)*Assumptions!$E$160+MAX(MIN(J72,Assumptions!$E$161)-Assumptions!$E$159,0)*Assumptions!$E$162+MAX(J72-Assumptions!$E$161,0)*Assumptions!$E$163+MIN(J72,Assumptions!$E$165)*Assumptions!$E$164)</x:f>
        <x:v>310.3209408234288</x:v>
      </x:c>
      <x:c r="O72" s="26" t="str">
        <x:v>S34;S41;S42;S43;A18</x:v>
      </x:c>
      <x:c r="P72" s="26"/>
      <x:c r="Q72" s="26"/>
      <x:c r="R72" s="26"/>
      <x:c r="S72" s="26"/>
      <x:c r="U72" s="1196"/>
      <x:c r="V72" s="1196"/>
      <x:c r="W72" s="1196"/>
      <x:c r="X72" s="1196"/>
    </x:row>
    <x:row r="73">
      <x:c r="A73" s="26" t="n">
        <x:v>29</x:v>
      </x:c>
      <x:c r="B73" s="26" t="n">
        <x:v>49</x:v>
      </x:c>
      <x:c r="C73" s="26" t="str">
        <x:v>45–54</x:v>
      </x:c>
      <x:c r="D73" s="962" t="n">
        <x:f>Assumptions!$E$153</x:f>
        <x:v>39.5</x:v>
      </x:c>
      <x:c r="E73" s="963" t="n">
        <x:f>Assumptions!$E$150</x:f>
        <x:v>1.027</x:v>
      </x:c>
      <x:c r="F73" s="932" t="n">
        <x:f>Assumptions!$E$138</x:f>
        <x:v>37</x:v>
      </x:c>
      <x:c r="G73" s="932" t="n">
        <x:f>Assumptions!$E$139</x:f>
        <x:v>52</x:v>
      </x:c>
      <x:c r="H73" s="932" t="n">
        <x:f>Assumptions!$E$137</x:f>
        <x:v>0.85</x:v>
      </x:c>
      <x:c r="I73" s="963" t="n">
        <x:f>(1+Assumptions!$E$140)^(A73-1)</x:f>
        <x:v>1.1498726099802885</x:v>
      </x:c>
      <x:c r="J73" s="167" t="n">
        <x:f>D73*E73*F73*G73*I73</x:f>
        <x:v>89747.49511584057</x:v>
      </x:c>
      <x:c r="K73" s="964" t="n">
        <x:f>1/(1+Assumptions!$E$15)^A73</x:f>
        <x:v>0.5631123067595103</x:v>
      </x:c>
      <x:c r="L73" s="964" t="n">
        <x:f>1/(1+Assumptions!$E$53)^A73</x:f>
        <x:v>0.3206514146923571</x:v>
      </x:c>
      <x:c r="M73" s="964" t="n">
        <x:f>1/(1+Assumptions!$E$16)^A73</x:f>
        <x:v>0.10732751915378534</x:v>
      </x:c>
      <x:c r="N73" s="965" t="n">
        <x:f>(MIN(J73*1.01,Assumptions!$E$155)*Assumptions!$E$156+MAX(MIN(J73*1.01,Assumptions!$E$157)-Assumptions!$E$155,0)*Assumptions!$E$158+MAX(MIN(J73*1.01,Assumptions!$E$159)-Assumptions!$E$157,0)*Assumptions!$E$160+MAX(MIN(J73*1.01,Assumptions!$E$161)-Assumptions!$E$159,0)*Assumptions!$E$162+MAX(J73*1.01-Assumptions!$E$161,0)*Assumptions!$E$163+MIN(J73*1.01,Assumptions!$E$165)*Assumptions!$E$164)-(MIN(J73,Assumptions!$E$155)*Assumptions!$E$156+MAX(MIN(J73,Assumptions!$E$157)-Assumptions!$E$155,0)*Assumptions!$E$158+MAX(MIN(J73,Assumptions!$E$159)-Assumptions!$E$157,0)*Assumptions!$E$160+MAX(MIN(J73,Assumptions!$E$161)-Assumptions!$E$159,0)*Assumptions!$E$162+MAX(J73-Assumptions!$E$161,0)*Assumptions!$E$163+MIN(J73,Assumptions!$E$165)*Assumptions!$E$164)</x:f>
        <x:v>311.8725455275453</x:v>
      </x:c>
      <x:c r="O73" s="26" t="str">
        <x:v>S34;S41;S42;S43;A18</x:v>
      </x:c>
      <x:c r="P73" s="26"/>
      <x:c r="Q73" s="26"/>
      <x:c r="R73" s="26"/>
      <x:c r="S73" s="26"/>
      <x:c r="U73" s="1196"/>
      <x:c r="V73" s="1196"/>
      <x:c r="W73" s="1196"/>
      <x:c r="X73" s="1196"/>
    </x:row>
    <x:row r="74">
      <x:c r="A74" s="26" t="n">
        <x:v>30</x:v>
      </x:c>
      <x:c r="B74" s="26" t="n">
        <x:v>50</x:v>
      </x:c>
      <x:c r="C74" s="26" t="str">
        <x:v>45–54</x:v>
      </x:c>
      <x:c r="D74" s="962" t="n">
        <x:f>Assumptions!$E$153</x:f>
        <x:v>39.5</x:v>
      </x:c>
      <x:c r="E74" s="963" t="n">
        <x:f>Assumptions!$E$150</x:f>
        <x:v>1.027</x:v>
      </x:c>
      <x:c r="F74" s="932" t="n">
        <x:f>Assumptions!$E$138</x:f>
        <x:v>37</x:v>
      </x:c>
      <x:c r="G74" s="932" t="n">
        <x:f>Assumptions!$E$139</x:f>
        <x:v>52</x:v>
      </x:c>
      <x:c r="H74" s="932" t="n">
        <x:f>Assumptions!$E$137</x:f>
        <x:v>0.85</x:v>
      </x:c>
      <x:c r="I74" s="963" t="n">
        <x:f>(1+Assumptions!$E$140)^(A74-1)</x:f>
        <x:v>1.1556219730301898</x:v>
      </x:c>
      <x:c r="J74" s="167" t="n">
        <x:f>D74*E74*F74*G74*I74</x:f>
        <x:v>90196.23259141976</x:v>
      </x:c>
      <x:c r="K74" s="964" t="n">
        <x:f>1/(1+Assumptions!$E$15)^A74</x:f>
        <x:v>0.552070888979912</x:v>
      </x:c>
      <x:c r="L74" s="964" t="n">
        <x:f>1/(1+Assumptions!$E$53)^A74</x:f>
        <x:v>0.30831866797342034</x:v>
      </x:c>
      <x:c r="M74" s="964" t="n">
        <x:f>1/(1+Assumptions!$E$16)^A74</x:f>
        <x:v>0.09937733254980123</x:v>
      </x:c>
      <x:c r="N74" s="965" t="n">
        <x:f>(MIN(J74*1.01,Assumptions!$E$155)*Assumptions!$E$156+MAX(MIN(J74*1.01,Assumptions!$E$157)-Assumptions!$E$155,0)*Assumptions!$E$158+MAX(MIN(J74*1.01,Assumptions!$E$159)-Assumptions!$E$157,0)*Assumptions!$E$160+MAX(MIN(J74*1.01,Assumptions!$E$161)-Assumptions!$E$159,0)*Assumptions!$E$162+MAX(J74*1.01-Assumptions!$E$161,0)*Assumptions!$E$163+MIN(J74*1.01,Assumptions!$E$165)*Assumptions!$E$164)-(MIN(J74,Assumptions!$E$155)*Assumptions!$E$156+MAX(MIN(J74,Assumptions!$E$157)-Assumptions!$E$155,0)*Assumptions!$E$158+MAX(MIN(J74,Assumptions!$E$159)-Assumptions!$E$157,0)*Assumptions!$E$160+MAX(MIN(J74,Assumptions!$E$161)-Assumptions!$E$159,0)*Assumptions!$E$162+MAX(J74-Assumptions!$E$161,0)*Assumptions!$E$163+MIN(J74,Assumptions!$E$165)*Assumptions!$E$164)</x:f>
        <x:v>313.4319082551847</x:v>
      </x:c>
      <x:c r="O74" s="26" t="str">
        <x:v>S34;S41;S42;S43;A18</x:v>
      </x:c>
      <x:c r="P74" s="26"/>
      <x:c r="Q74" s="26"/>
      <x:c r="R74" s="26"/>
      <x:c r="S74" s="26"/>
      <x:c r="U74" s="1196"/>
      <x:c r="V74" s="1196"/>
      <x:c r="W74" s="1196"/>
      <x:c r="X74" s="1196"/>
    </x:row>
    <x:row r="75">
      <x:c r="A75" s="26" t="n">
        <x:v>31</x:v>
      </x:c>
      <x:c r="B75" s="26" t="n">
        <x:v>51</x:v>
      </x:c>
      <x:c r="C75" s="26" t="str">
        <x:v>45–54</x:v>
      </x:c>
      <x:c r="D75" s="962" t="n">
        <x:f>Assumptions!$E$153</x:f>
        <x:v>39.5</x:v>
      </x:c>
      <x:c r="E75" s="963" t="n">
        <x:f>Assumptions!$E$150</x:f>
        <x:v>1.027</x:v>
      </x:c>
      <x:c r="F75" s="932" t="n">
        <x:f>Assumptions!$E$138</x:f>
        <x:v>37</x:v>
      </x:c>
      <x:c r="G75" s="932" t="n">
        <x:f>Assumptions!$E$139</x:f>
        <x:v>52</x:v>
      </x:c>
      <x:c r="H75" s="932" t="n">
        <x:f>Assumptions!$E$137</x:f>
        <x:v>0.85</x:v>
      </x:c>
      <x:c r="I75" s="963" t="n">
        <x:f>(1+Assumptions!$E$140)^(A75-1)</x:f>
        <x:v>1.1614000828953406</x:v>
      </x:c>
      <x:c r="J75" s="167" t="n">
        <x:f>D75*E75*F75*G75*I75</x:f>
        <x:v>90647.21375437685</x:v>
      </x:c>
      <x:c r="K75" s="964" t="n">
        <x:f>1/(1+Assumptions!$E$15)^A75</x:f>
        <x:v>0.5412459695881492</x:v>
      </x:c>
      <x:c r="L75" s="964" t="n">
        <x:f>1/(1+Assumptions!$E$53)^A75</x:f>
        <x:v>0.29646025766675027</x:v>
      </x:c>
      <x:c r="M75" s="964" t="n">
        <x:f>1/(1+Assumptions!$E$16)^A75</x:f>
        <x:v>0.09201604865722335</x:v>
      </x:c>
      <x:c r="N75" s="965" t="n">
        <x:f>(MIN(J75*1.01,Assumptions!$E$155)*Assumptions!$E$156+MAX(MIN(J75*1.01,Assumptions!$E$157)-Assumptions!$E$155,0)*Assumptions!$E$158+MAX(MIN(J75*1.01,Assumptions!$E$159)-Assumptions!$E$157,0)*Assumptions!$E$160+MAX(MIN(J75*1.01,Assumptions!$E$161)-Assumptions!$E$159,0)*Assumptions!$E$162+MAX(J75*1.01-Assumptions!$E$161,0)*Assumptions!$E$163+MIN(J75*1.01,Assumptions!$E$165)*Assumptions!$E$164)-(MIN(J75,Assumptions!$E$155)*Assumptions!$E$156+MAX(MIN(J75,Assumptions!$E$157)-Assumptions!$E$155,0)*Assumptions!$E$158+MAX(MIN(J75,Assumptions!$E$159)-Assumptions!$E$157,0)*Assumptions!$E$160+MAX(MIN(J75,Assumptions!$E$161)-Assumptions!$E$159,0)*Assumptions!$E$162+MAX(J75-Assumptions!$E$161,0)*Assumptions!$E$163+MIN(J75,Assumptions!$E$165)*Assumptions!$E$164)</x:f>
        <x:v>314.9990677964597</x:v>
      </x:c>
      <x:c r="O75" s="26" t="str">
        <x:v>S34;S41;S42;S43;A18</x:v>
      </x:c>
      <x:c r="P75" s="26"/>
      <x:c r="Q75" s="26"/>
      <x:c r="R75" s="26"/>
      <x:c r="S75" s="26"/>
      <x:c r="U75" s="1196"/>
      <x:c r="V75" s="1196"/>
      <x:c r="W75" s="1196"/>
      <x:c r="X75" s="1196"/>
    </x:row>
    <x:row r="76">
      <x:c r="A76" s="26" t="n">
        <x:v>32</x:v>
      </x:c>
      <x:c r="B76" s="26" t="n">
        <x:v>52</x:v>
      </x:c>
      <x:c r="C76" s="26" t="str">
        <x:v>45–54</x:v>
      </x:c>
      <x:c r="D76" s="962" t="n">
        <x:f>Assumptions!$E$153</x:f>
        <x:v>39.5</x:v>
      </x:c>
      <x:c r="E76" s="963" t="n">
        <x:f>Assumptions!$E$150</x:f>
        <x:v>1.027</x:v>
      </x:c>
      <x:c r="F76" s="932" t="n">
        <x:f>Assumptions!$E$138</x:f>
        <x:v>37</x:v>
      </x:c>
      <x:c r="G76" s="932" t="n">
        <x:f>Assumptions!$E$139</x:f>
        <x:v>52</x:v>
      </x:c>
      <x:c r="H76" s="932" t="n">
        <x:f>Assumptions!$E$137</x:f>
        <x:v>0.85</x:v>
      </x:c>
      <x:c r="I76" s="963" t="n">
        <x:f>(1+Assumptions!$E$140)^(A76-1)</x:f>
        <x:v>1.167207083309817</x:v>
      </x:c>
      <x:c r="J76" s="167" t="n">
        <x:f>D76*E76*F76*G76*I76</x:f>
        <x:v>91100.44982314871</x:v>
      </x:c>
      <x:c r="K76" s="964" t="n">
        <x:f>1/(1+Assumptions!$E$15)^A76</x:f>
        <x:v>0.5306333035177931</x:v>
      </x:c>
      <x:c r="L76" s="964" t="n">
        <x:f>1/(1+Assumptions!$E$53)^A76</x:f>
        <x:v>0.28505794006418295</x:v>
      </x:c>
      <x:c r="M76" s="964" t="n">
        <x:f>1/(1+Assumptions!$E$16)^A76</x:f>
        <x:v>0.08520004505298458</x:v>
      </x:c>
      <x:c r="N76" s="965" t="n">
        <x:f>(MIN(J76*1.01,Assumptions!$E$155)*Assumptions!$E$156+MAX(MIN(J76*1.01,Assumptions!$E$157)-Assumptions!$E$155,0)*Assumptions!$E$158+MAX(MIN(J76*1.01,Assumptions!$E$159)-Assumptions!$E$157,0)*Assumptions!$E$160+MAX(MIN(J76*1.01,Assumptions!$E$161)-Assumptions!$E$159,0)*Assumptions!$E$162+MAX(J76*1.01-Assumptions!$E$161,0)*Assumptions!$E$163+MIN(J76*1.01,Assumptions!$E$165)*Assumptions!$E$164)-(MIN(J76,Assumptions!$E$155)*Assumptions!$E$156+MAX(MIN(J76,Assumptions!$E$157)-Assumptions!$E$155,0)*Assumptions!$E$158+MAX(MIN(J76,Assumptions!$E$159)-Assumptions!$E$157,0)*Assumptions!$E$160+MAX(MIN(J76,Assumptions!$E$161)-Assumptions!$E$159,0)*Assumptions!$E$162+MAX(J76-Assumptions!$E$161,0)*Assumptions!$E$163+MIN(J76,Assumptions!$E$165)*Assumptions!$E$164)</x:f>
        <x:v>316.574063135442</x:v>
      </x:c>
      <x:c r="O76" s="26" t="str">
        <x:v>S34;S41;S42;S43;A18</x:v>
      </x:c>
      <x:c r="P76" s="26"/>
      <x:c r="Q76" s="26"/>
      <x:c r="R76" s="26"/>
      <x:c r="S76" s="26"/>
      <x:c r="U76" s="1196"/>
      <x:c r="V76" s="1196"/>
      <x:c r="W76" s="1196"/>
      <x:c r="X76" s="1196"/>
    </x:row>
    <x:row r="77">
      <x:c r="A77" s="26" t="n">
        <x:v>33</x:v>
      </x:c>
      <x:c r="B77" s="26" t="n">
        <x:v>53</x:v>
      </x:c>
      <x:c r="C77" s="26" t="str">
        <x:v>45–54</x:v>
      </x:c>
      <x:c r="D77" s="962" t="n">
        <x:f>Assumptions!$E$153</x:f>
        <x:v>39.5</x:v>
      </x:c>
      <x:c r="E77" s="963" t="n">
        <x:f>Assumptions!$E$150</x:f>
        <x:v>1.027</x:v>
      </x:c>
      <x:c r="F77" s="932" t="n">
        <x:f>Assumptions!$E$138</x:f>
        <x:v>37</x:v>
      </x:c>
      <x:c r="G77" s="932" t="n">
        <x:f>Assumptions!$E$139</x:f>
        <x:v>52</x:v>
      </x:c>
      <x:c r="H77" s="932" t="n">
        <x:f>Assumptions!$E$137</x:f>
        <x:v>0.85</x:v>
      </x:c>
      <x:c r="I77" s="963" t="n">
        <x:f>(1+Assumptions!$E$140)^(A77-1)</x:f>
        <x:v>1.173043118726366</x:v>
      </x:c>
      <x:c r="J77" s="167" t="n">
        <x:f>D77*E77*F77*G77*I77</x:f>
        <x:v>91555.95207226444</x:v>
      </x:c>
      <x:c r="K77" s="964" t="n">
        <x:f>1/(1+Assumptions!$E$15)^A77</x:f>
        <x:v>0.5202287289390128</x:v>
      </x:c>
      <x:c r="L77" s="964" t="n">
        <x:f>1/(1+Assumptions!$E$53)^A77</x:f>
        <x:v>0.27409417313863743</x:v>
      </x:c>
      <x:c r="M77" s="964" t="n">
        <x:f>1/(1+Assumptions!$E$16)^A77</x:f>
        <x:v>0.07888893060461535</x:v>
      </x:c>
      <x:c r="N77" s="965" t="n">
        <x:f>(MIN(J77*1.01,Assumptions!$E$155)*Assumptions!$E$156+MAX(MIN(J77*1.01,Assumptions!$E$157)-Assumptions!$E$155,0)*Assumptions!$E$158+MAX(MIN(J77*1.01,Assumptions!$E$159)-Assumptions!$E$157,0)*Assumptions!$E$160+MAX(MIN(J77*1.01,Assumptions!$E$161)-Assumptions!$E$159,0)*Assumptions!$E$162+MAX(J77*1.01-Assumptions!$E$161,0)*Assumptions!$E$163+MIN(J77*1.01,Assumptions!$E$165)*Assumptions!$E$164)-(MIN(J77,Assumptions!$E$155)*Assumptions!$E$156+MAX(MIN(J77,Assumptions!$E$157)-Assumptions!$E$155,0)*Assumptions!$E$158+MAX(MIN(J77,Assumptions!$E$159)-Assumptions!$E$157,0)*Assumptions!$E$160+MAX(MIN(J77,Assumptions!$E$161)-Assumptions!$E$159,0)*Assumptions!$E$162+MAX(J77-Assumptions!$E$161,0)*Assumptions!$E$163+MIN(J77,Assumptions!$E$165)*Assumptions!$E$164)</x:f>
        <x:v>318.1569334511187</x:v>
      </x:c>
      <x:c r="O77" s="26" t="str">
        <x:v>S34;S41;S42;S43;A18</x:v>
      </x:c>
      <x:c r="P77" s="26"/>
      <x:c r="Q77" s="26"/>
      <x:c r="R77" s="26"/>
      <x:c r="S77" s="26"/>
      <x:c r="U77" s="1196"/>
      <x:c r="V77" s="1196"/>
      <x:c r="W77" s="1196"/>
      <x:c r="X77" s="1196"/>
    </x:row>
    <x:row r="78">
      <x:c r="A78" s="26" t="n">
        <x:v>34</x:v>
      </x:c>
      <x:c r="B78" s="26" t="n">
        <x:v>54</x:v>
      </x:c>
      <x:c r="C78" s="26" t="str">
        <x:v>45–54</x:v>
      </x:c>
      <x:c r="D78" s="962" t="n">
        <x:f>Assumptions!$E$153</x:f>
        <x:v>39.5</x:v>
      </x:c>
      <x:c r="E78" s="963" t="n">
        <x:f>Assumptions!$E$150</x:f>
        <x:v>1.027</x:v>
      </x:c>
      <x:c r="F78" s="932" t="n">
        <x:f>Assumptions!$E$138</x:f>
        <x:v>37</x:v>
      </x:c>
      <x:c r="G78" s="932" t="n">
        <x:f>Assumptions!$E$139</x:f>
        <x:v>52</x:v>
      </x:c>
      <x:c r="H78" s="932" t="n">
        <x:f>Assumptions!$E$137</x:f>
        <x:v>0.85</x:v>
      </x:c>
      <x:c r="I78" s="963" t="n">
        <x:f>(1+Assumptions!$E$140)^(A78-1)</x:f>
        <x:v>1.1789083343199975</x:v>
      </x:c>
      <x:c r="J78" s="167" t="n">
        <x:f>D78*E78*F78*G78*I78</x:f>
        <x:v>92013.73183262575</x:v>
      </x:c>
      <x:c r="K78" s="964" t="n">
        <x:f>1/(1+Assumptions!$E$15)^A78</x:f>
        <x:v>0.5100281656264832</x:v>
      </x:c>
      <x:c r="L78" s="964" t="n">
        <x:f>1/(1+Assumptions!$E$53)^A78</x:f>
        <x:v>0.26355208955638215</x:v>
      </x:c>
      <x:c r="M78" s="964" t="n">
        <x:f>1/(1+Assumptions!$E$16)^A78</x:f>
        <x:v>0.07304530611538458</x:v>
      </x:c>
      <x:c r="N78" s="965" t="n">
        <x:f>(MIN(J78*1.01,Assumptions!$E$155)*Assumptions!$E$156+MAX(MIN(J78*1.01,Assumptions!$E$157)-Assumptions!$E$155,0)*Assumptions!$E$158+MAX(MIN(J78*1.01,Assumptions!$E$159)-Assumptions!$E$157,0)*Assumptions!$E$160+MAX(MIN(J78*1.01,Assumptions!$E$161)-Assumptions!$E$159,0)*Assumptions!$E$162+MAX(J78*1.01-Assumptions!$E$161,0)*Assumptions!$E$163+MIN(J78*1.01,Assumptions!$E$165)*Assumptions!$E$164)-(MIN(J78,Assumptions!$E$155)*Assumptions!$E$156+MAX(MIN(J78,Assumptions!$E$157)-Assumptions!$E$155,0)*Assumptions!$E$158+MAX(MIN(J78,Assumptions!$E$159)-Assumptions!$E$157,0)*Assumptions!$E$160+MAX(MIN(J78,Assumptions!$E$161)-Assumptions!$E$159,0)*Assumptions!$E$162+MAX(J78-Assumptions!$E$161,0)*Assumptions!$E$163+MIN(J78,Assumptions!$E$165)*Assumptions!$E$164)</x:f>
        <x:v>319.7477181183749</x:v>
      </x:c>
      <x:c r="O78" s="26" t="str">
        <x:v>S34;S41;S42;S43;A18</x:v>
      </x:c>
      <x:c r="P78" s="26"/>
      <x:c r="Q78" s="26"/>
      <x:c r="R78" s="26"/>
      <x:c r="S78" s="26"/>
      <x:c r="U78" s="1196"/>
      <x:c r="V78" s="1196"/>
      <x:c r="W78" s="1196"/>
      <x:c r="X78" s="1196"/>
    </x:row>
    <x:row r="79">
      <x:c r="A79" s="26" t="n">
        <x:v>35</x:v>
      </x:c>
      <x:c r="B79" s="26" t="n">
        <x:v>55</x:v>
      </x:c>
      <x:c r="C79" s="26" t="str">
        <x:v>55–64</x:v>
      </x:c>
      <x:c r="D79" s="962" t="n">
        <x:f>Assumptions!$E$154</x:f>
        <x:v>37</x:v>
      </x:c>
      <x:c r="E79" s="963" t="n">
        <x:f>Assumptions!$E$150</x:f>
        <x:v>1.027</x:v>
      </x:c>
      <x:c r="F79" s="932" t="n">
        <x:f>Assumptions!$E$138</x:f>
        <x:v>37</x:v>
      </x:c>
      <x:c r="G79" s="932" t="n">
        <x:f>Assumptions!$E$139</x:f>
        <x:v>52</x:v>
      </x:c>
      <x:c r="H79" s="932" t="n">
        <x:f>Assumptions!$E$137</x:f>
        <x:v>0.85</x:v>
      </x:c>
      <x:c r="I79" s="963" t="n">
        <x:f>(1+Assumptions!$E$140)^(A79-1)</x:f>
        <x:v>1.1848028759915974</x:v>
      </x:c>
      <x:c r="J79" s="167" t="n">
        <x:f>D79*E79*F79*G79*I79</x:f>
        <x:v>86621.02830876425</x:v>
      </x:c>
      <x:c r="K79" s="964" t="n">
        <x:f>1/(1+Assumptions!$E$15)^A79</x:f>
        <x:v>0.5000276133592974</x:v>
      </x:c>
      <x:c r="L79" s="964" t="n">
        <x:f>1/(1+Assumptions!$E$53)^A79</x:f>
        <x:v>0.2534154707272905</x:v>
      </x:c>
      <x:c r="M79" s="964" t="n">
        <x:f>1/(1+Assumptions!$E$16)^A79</x:f>
        <x:v>0.06763454269943016</x:v>
      </x:c>
      <x:c r="N79" s="965" t="n">
        <x:f>(MIN(J79*1.01,Assumptions!$E$155)*Assumptions!$E$156+MAX(MIN(J79*1.01,Assumptions!$E$157)-Assumptions!$E$155,0)*Assumptions!$E$158+MAX(MIN(J79*1.01,Assumptions!$E$159)-Assumptions!$E$157,0)*Assumptions!$E$160+MAX(MIN(J79*1.01,Assumptions!$E$161)-Assumptions!$E$159,0)*Assumptions!$E$162+MAX(J79*1.01-Assumptions!$E$161,0)*Assumptions!$E$163+MIN(J79*1.01,Assumptions!$E$165)*Assumptions!$E$164)-(MIN(J79,Assumptions!$E$155)*Assumptions!$E$156+MAX(MIN(J79,Assumptions!$E$157)-Assumptions!$E$155,0)*Assumptions!$E$158+MAX(MIN(J79,Assumptions!$E$159)-Assumptions!$E$157,0)*Assumptions!$E$160+MAX(MIN(J79,Assumptions!$E$161)-Assumptions!$E$159,0)*Assumptions!$E$162+MAX(J79-Assumptions!$E$161,0)*Assumptions!$E$163+MIN(J79,Assumptions!$E$165)*Assumptions!$E$164)</x:f>
        <x:v>301.0080733729519</x:v>
      </x:c>
      <x:c r="O79" s="26" t="str">
        <x:v>S34;S41;S42;S43;A18</x:v>
      </x:c>
      <x:c r="P79" s="26"/>
      <x:c r="Q79" s="26"/>
      <x:c r="R79" s="26"/>
      <x:c r="S79" s="26"/>
      <x:c r="U79" s="1196"/>
      <x:c r="V79" s="1196"/>
      <x:c r="W79" s="1196"/>
      <x:c r="X79" s="1196"/>
    </x:row>
    <x:row r="80">
      <x:c r="A80" s="26" t="n">
        <x:v>36</x:v>
      </x:c>
      <x:c r="B80" s="26" t="n">
        <x:v>56</x:v>
      </x:c>
      <x:c r="C80" s="26" t="str">
        <x:v>55–64</x:v>
      </x:c>
      <x:c r="D80" s="962" t="n">
        <x:f>Assumptions!$E$154</x:f>
        <x:v>37</x:v>
      </x:c>
      <x:c r="E80" s="963" t="n">
        <x:f>Assumptions!$E$150</x:f>
        <x:v>1.027</x:v>
      </x:c>
      <x:c r="F80" s="932" t="n">
        <x:f>Assumptions!$E$138</x:f>
        <x:v>37</x:v>
      </x:c>
      <x:c r="G80" s="932" t="n">
        <x:f>Assumptions!$E$139</x:f>
        <x:v>52</x:v>
      </x:c>
      <x:c r="H80" s="932" t="n">
        <x:f>Assumptions!$E$137</x:f>
        <x:v>0.85</x:v>
      </x:c>
      <x:c r="I80" s="963" t="n">
        <x:f>(1+Assumptions!$E$140)^(A80-1)</x:f>
        <x:v>1.1907268903715553</x:v>
      </x:c>
      <x:c r="J80" s="167" t="n">
        <x:f>D80*E80*F80*G80*I80</x:f>
        <x:v>87054.13345030806</x:v>
      </x:c>
      <x:c r="K80" s="964" t="n">
        <x:f>1/(1+Assumptions!$E$15)^A80</x:f>
        <x:v>0.49022315035225233</x:v>
      </x:c>
      <x:c r="L80" s="964" t="n">
        <x:f>1/(1+Assumptions!$E$53)^A80</x:f>
        <x:v>0.24366872185316396</x:v>
      </x:c>
      <x:c r="M80" s="964" t="n">
        <x:f>1/(1+Assumptions!$E$16)^A80</x:f>
        <x:v>0.06262457657354643</x:v>
      </x:c>
      <x:c r="N80" s="965" t="n">
        <x:f>(MIN(J80*1.01,Assumptions!$E$155)*Assumptions!$E$156+MAX(MIN(J80*1.01,Assumptions!$E$157)-Assumptions!$E$155,0)*Assumptions!$E$158+MAX(MIN(J80*1.01,Assumptions!$E$159)-Assumptions!$E$157,0)*Assumptions!$E$160+MAX(MIN(J80*1.01,Assumptions!$E$161)-Assumptions!$E$159,0)*Assumptions!$E$162+MAX(J80*1.01-Assumptions!$E$161,0)*Assumptions!$E$163+MIN(J80*1.01,Assumptions!$E$165)*Assumptions!$E$164)-(MIN(J80,Assumptions!$E$155)*Assumptions!$E$156+MAX(MIN(J80,Assumptions!$E$157)-Assumptions!$E$155,0)*Assumptions!$E$158+MAX(MIN(J80,Assumptions!$E$159)-Assumptions!$E$157,0)*Assumptions!$E$160+MAX(MIN(J80,Assumptions!$E$161)-Assumptions!$E$159,0)*Assumptions!$E$162+MAX(J80-Assumptions!$E$161,0)*Assumptions!$E$163+MIN(J80,Assumptions!$E$165)*Assumptions!$E$164)</x:f>
        <x:v>302.5131137398239</x:v>
      </x:c>
      <x:c r="O80" s="26" t="str">
        <x:v>S34;S41;S42;S43;A18</x:v>
      </x:c>
      <x:c r="P80" s="26"/>
      <x:c r="Q80" s="26"/>
      <x:c r="R80" s="26"/>
      <x:c r="S80" s="26"/>
      <x:c r="U80" s="1196"/>
      <x:c r="V80" s="1196"/>
      <x:c r="W80" s="1196"/>
      <x:c r="X80" s="1196"/>
    </x:row>
    <x:row r="81">
      <x:c r="A81" s="26" t="n">
        <x:v>37</x:v>
      </x:c>
      <x:c r="B81" s="26" t="n">
        <x:v>57</x:v>
      </x:c>
      <x:c r="C81" s="26" t="str">
        <x:v>55–64</x:v>
      </x:c>
      <x:c r="D81" s="962" t="n">
        <x:f>Assumptions!$E$154</x:f>
        <x:v>37</x:v>
      </x:c>
      <x:c r="E81" s="963" t="n">
        <x:f>Assumptions!$E$150</x:f>
        <x:v>1.027</x:v>
      </x:c>
      <x:c r="F81" s="932" t="n">
        <x:f>Assumptions!$E$138</x:f>
        <x:v>37</x:v>
      </x:c>
      <x:c r="G81" s="932" t="n">
        <x:f>Assumptions!$E$139</x:f>
        <x:v>52</x:v>
      </x:c>
      <x:c r="H81" s="932" t="n">
        <x:f>Assumptions!$E$137</x:f>
        <x:v>0.85</x:v>
      </x:c>
      <x:c r="I81" s="963" t="n">
        <x:f>(1+Assumptions!$E$140)^(A81-1)</x:f>
        <x:v>1.1966805248234127</x:v>
      </x:c>
      <x:c r="J81" s="167" t="n">
        <x:f>D81*E81*F81*G81*I81</x:f>
        <x:v>87489.40411755958</x:v>
      </x:c>
      <x:c r="K81" s="964" t="n">
        <x:f>1/(1+Assumptions!$E$15)^A81</x:f>
        <x:v>0.4806109317178944</x:v>
      </x:c>
      <x:c r="L81" s="964" t="n">
        <x:f>1/(1+Assumptions!$E$53)^A81</x:f>
        <x:v>0.23429684793573452</x:v>
      </x:c>
      <x:c r="M81" s="964" t="n">
        <x:f>1/(1+Assumptions!$E$16)^A81</x:f>
        <x:v>0.05798571904958003</x:v>
      </x:c>
      <x:c r="N81" s="965" t="n">
        <x:f>(MIN(J81*1.01,Assumptions!$E$155)*Assumptions!$E$156+MAX(MIN(J81*1.01,Assumptions!$E$157)-Assumptions!$E$155,0)*Assumptions!$E$158+MAX(MIN(J81*1.01,Assumptions!$E$159)-Assumptions!$E$157,0)*Assumptions!$E$160+MAX(MIN(J81*1.01,Assumptions!$E$161)-Assumptions!$E$159,0)*Assumptions!$E$162+MAX(J81*1.01-Assumptions!$E$161,0)*Assumptions!$E$163+MIN(J81*1.01,Assumptions!$E$165)*Assumptions!$E$164)-(MIN(J81,Assumptions!$E$155)*Assumptions!$E$156+MAX(MIN(J81,Assumptions!$E$157)-Assumptions!$E$155,0)*Assumptions!$E$158+MAX(MIN(J81,Assumptions!$E$159)-Assumptions!$E$157,0)*Assumptions!$E$160+MAX(MIN(J81,Assumptions!$E$161)-Assumptions!$E$159,0)*Assumptions!$E$162+MAX(J81-Assumptions!$E$161,0)*Assumptions!$E$163+MIN(J81,Assumptions!$E$165)*Assumptions!$E$164)</x:f>
        <x:v>304.0256793085173</x:v>
      </x:c>
      <x:c r="O81" s="26" t="str">
        <x:v>S34;S41;S42;S43;A18</x:v>
      </x:c>
      <x:c r="P81" s="26"/>
      <x:c r="Q81" s="26"/>
      <x:c r="R81" s="26"/>
      <x:c r="S81" s="26"/>
      <x:c r="U81" s="1196"/>
      <x:c r="V81" s="1196"/>
      <x:c r="W81" s="1196"/>
      <x:c r="X81" s="1196"/>
    </x:row>
    <x:row r="82">
      <x:c r="A82" s="26" t="n">
        <x:v>38</x:v>
      </x:c>
      <x:c r="B82" s="26" t="n">
        <x:v>58</x:v>
      </x:c>
      <x:c r="C82" s="26" t="str">
        <x:v>55–64</x:v>
      </x:c>
      <x:c r="D82" s="962" t="n">
        <x:f>Assumptions!$E$154</x:f>
        <x:v>37</x:v>
      </x:c>
      <x:c r="E82" s="963" t="n">
        <x:f>Assumptions!$E$150</x:f>
        <x:v>1.027</x:v>
      </x:c>
      <x:c r="F82" s="932" t="n">
        <x:f>Assumptions!$E$138</x:f>
        <x:v>37</x:v>
      </x:c>
      <x:c r="G82" s="932" t="n">
        <x:f>Assumptions!$E$139</x:f>
        <x:v>52</x:v>
      </x:c>
      <x:c r="H82" s="932" t="n">
        <x:f>Assumptions!$E$137</x:f>
        <x:v>0.85</x:v>
      </x:c>
      <x:c r="I82" s="963" t="n">
        <x:f>(1+Assumptions!$E$140)^(A82-1)</x:f>
        <x:v>1.2026639274475295</x:v>
      </x:c>
      <x:c r="J82" s="167" t="n">
        <x:f>D82*E82*F82*G82*I82</x:f>
        <x:v>87926.85113814735</x:v>
      </x:c>
      <x:c r="K82" s="964" t="n">
        <x:f>1/(1+Assumptions!$E$15)^A82</x:f>
        <x:v>0.4711871879587199</x:v>
      </x:c>
      <x:c r="L82" s="964" t="n">
        <x:f>1/(1+Assumptions!$E$53)^A82</x:f>
        <x:v>0.22528543070743706</x:v>
      </x:c>
      <x:c r="M82" s="964" t="n">
        <x:f>1/(1+Assumptions!$E$16)^A82</x:f>
        <x:v>0.05369048060146299</x:v>
      </x:c>
      <x:c r="N82" s="965" t="n">
        <x:f>(MIN(J82*1.01,Assumptions!$E$155)*Assumptions!$E$156+MAX(MIN(J82*1.01,Assumptions!$E$157)-Assumptions!$E$155,0)*Assumptions!$E$158+MAX(MIN(J82*1.01,Assumptions!$E$159)-Assumptions!$E$157,0)*Assumptions!$E$160+MAX(MIN(J82*1.01,Assumptions!$E$161)-Assumptions!$E$159,0)*Assumptions!$E$162+MAX(J82*1.01-Assumptions!$E$161,0)*Assumptions!$E$163+MIN(J82*1.01,Assumptions!$E$165)*Assumptions!$E$164)-(MIN(J82,Assumptions!$E$155)*Assumptions!$E$156+MAX(MIN(J82,Assumptions!$E$157)-Assumptions!$E$155,0)*Assumptions!$E$158+MAX(MIN(J82,Assumptions!$E$159)-Assumptions!$E$157,0)*Assumptions!$E$160+MAX(MIN(J82,Assumptions!$E$161)-Assumptions!$E$159,0)*Assumptions!$E$162+MAX(J82-Assumptions!$E$161,0)*Assumptions!$E$163+MIN(J82,Assumptions!$E$165)*Assumptions!$E$164)</x:f>
        <x:v>305.5458077050607</x:v>
      </x:c>
      <x:c r="O82" s="26" t="str">
        <x:v>S34;S41;S42;S43;A18</x:v>
      </x:c>
      <x:c r="P82" s="26"/>
      <x:c r="Q82" s="26"/>
      <x:c r="R82" s="26"/>
      <x:c r="S82" s="26"/>
      <x:c r="U82" s="1196"/>
      <x:c r="V82" s="1196"/>
      <x:c r="W82" s="1196"/>
      <x:c r="X82" s="1196"/>
    </x:row>
    <x:row r="83">
      <x:c r="A83" s="26" t="n">
        <x:v>39</x:v>
      </x:c>
      <x:c r="B83" s="26" t="n">
        <x:v>59</x:v>
      </x:c>
      <x:c r="C83" s="26" t="str">
        <x:v>55–64</x:v>
      </x:c>
      <x:c r="D83" s="962" t="n">
        <x:f>Assumptions!$E$154</x:f>
        <x:v>37</x:v>
      </x:c>
      <x:c r="E83" s="963" t="n">
        <x:f>Assumptions!$E$150</x:f>
        <x:v>1.027</x:v>
      </x:c>
      <x:c r="F83" s="932" t="n">
        <x:f>Assumptions!$E$138</x:f>
        <x:v>37</x:v>
      </x:c>
      <x:c r="G83" s="932" t="n">
        <x:f>Assumptions!$E$139</x:f>
        <x:v>52</x:v>
      </x:c>
      <x:c r="H83" s="932" t="n">
        <x:f>Assumptions!$E$137</x:f>
        <x:v>0.85</x:v>
      </x:c>
      <x:c r="I83" s="963" t="n">
        <x:f>(1+Assumptions!$E$140)^(A83-1)</x:f>
        <x:v>1.208677247084767</x:v>
      </x:c>
      <x:c r="J83" s="167" t="n">
        <x:f>D83*E83*F83*G83*I83</x:f>
        <x:v>88366.48539383808</x:v>
      </x:c>
      <x:c r="K83" s="964" t="n">
        <x:f>1/(1+Assumptions!$E$15)^A83</x:f>
        <x:v>0.46194822348894127</x:v>
      </x:c>
      <x:c r="L83" s="964" t="n">
        <x:f>1/(1+Assumptions!$E$53)^A83</x:f>
        <x:v>0.21662060644945874</x:v>
      </x:c>
      <x:c r="M83" s="964" t="n">
        <x:f>1/(1+Assumptions!$E$16)^A83</x:f>
        <x:v>0.049713407964317585</x:v>
      </x:c>
      <x:c r="N83" s="965" t="n">
        <x:f>(MIN(J83*1.01,Assumptions!$E$155)*Assumptions!$E$156+MAX(MIN(J83*1.01,Assumptions!$E$157)-Assumptions!$E$155,0)*Assumptions!$E$158+MAX(MIN(J83*1.01,Assumptions!$E$159)-Assumptions!$E$157,0)*Assumptions!$E$160+MAX(MIN(J83*1.01,Assumptions!$E$161)-Assumptions!$E$159,0)*Assumptions!$E$162+MAX(J83*1.01-Assumptions!$E$161,0)*Assumptions!$E$163+MIN(J83*1.01,Assumptions!$E$165)*Assumptions!$E$164)-(MIN(J83,Assumptions!$E$155)*Assumptions!$E$156+MAX(MIN(J83,Assumptions!$E$157)-Assumptions!$E$155,0)*Assumptions!$E$158+MAX(MIN(J83,Assumptions!$E$159)-Assumptions!$E$157,0)*Assumptions!$E$160+MAX(MIN(J83,Assumptions!$E$161)-Assumptions!$E$159,0)*Assumptions!$E$162+MAX(J83-Assumptions!$E$161,0)*Assumptions!$E$163+MIN(J83,Assumptions!$E$165)*Assumptions!$E$164)</x:f>
        <x:v>307.07353674358455</x:v>
      </x:c>
      <x:c r="O83" s="26" t="str">
        <x:v>S34;S41;S42;S43;A18</x:v>
      </x:c>
      <x:c r="P83" s="26"/>
      <x:c r="Q83" s="26"/>
      <x:c r="R83" s="26"/>
      <x:c r="S83" s="26"/>
      <x:c r="U83" s="1196"/>
      <x:c r="V83" s="1196"/>
      <x:c r="W83" s="1196"/>
      <x:c r="X83" s="1196"/>
    </x:row>
    <x:row r="84">
      <x:c r="A84" s="26" t="n">
        <x:v>40</x:v>
      </x:c>
      <x:c r="B84" s="26" t="n">
        <x:v>60</x:v>
      </x:c>
      <x:c r="C84" s="26" t="str">
        <x:v>55–64</x:v>
      </x:c>
      <x:c r="D84" s="962" t="n">
        <x:f>Assumptions!$E$154</x:f>
        <x:v>37</x:v>
      </x:c>
      <x:c r="E84" s="963" t="n">
        <x:f>Assumptions!$E$150</x:f>
        <x:v>1.027</x:v>
      </x:c>
      <x:c r="F84" s="932" t="n">
        <x:f>Assumptions!$E$138</x:f>
        <x:v>37</x:v>
      </x:c>
      <x:c r="G84" s="932" t="n">
        <x:f>Assumptions!$E$139</x:f>
        <x:v>52</x:v>
      </x:c>
      <x:c r="H84" s="932" t="n">
        <x:f>Assumptions!$E$137</x:f>
        <x:v>0.85</x:v>
      </x:c>
      <x:c r="I84" s="963" t="n">
        <x:f>(1+Assumptions!$E$140)^(A84-1)</x:f>
        <x:v>1.2147206333201908</x:v>
      </x:c>
      <x:c r="J84" s="167" t="n">
        <x:f>D84*E84*F84*G84*I84</x:f>
        <x:v>88808.31782080726</x:v>
      </x:c>
      <x:c r="K84" s="964" t="n">
        <x:f>1/(1+Assumptions!$E$15)^A84</x:f>
        <x:v>0.45289041518523643</x:v>
      </x:c>
      <x:c r="L84" s="964" t="n">
        <x:f>1/(1+Assumptions!$E$53)^A84</x:f>
        <x:v>0.20828904466294101</x:v>
      </x:c>
      <x:c r="M84" s="964" t="n">
        <x:f>1/(1+Assumptions!$E$16)^A84</x:f>
        <x:v>0.04603093330029406</x:v>
      </x:c>
      <x:c r="N84" s="965" t="n">
        <x:f>(MIN(J84*1.01,Assumptions!$E$155)*Assumptions!$E$156+MAX(MIN(J84*1.01,Assumptions!$E$157)-Assumptions!$E$155,0)*Assumptions!$E$158+MAX(MIN(J84*1.01,Assumptions!$E$159)-Assumptions!$E$157,0)*Assumptions!$E$160+MAX(MIN(J84*1.01,Assumptions!$E$161)-Assumptions!$E$159,0)*Assumptions!$E$162+MAX(J84*1.01-Assumptions!$E$161,0)*Assumptions!$E$163+MIN(J84*1.01,Assumptions!$E$165)*Assumptions!$E$164)-(MIN(J84,Assumptions!$E$155)*Assumptions!$E$156+MAX(MIN(J84,Assumptions!$E$157)-Assumptions!$E$155,0)*Assumptions!$E$158+MAX(MIN(J84,Assumptions!$E$159)-Assumptions!$E$157,0)*Assumptions!$E$160+MAX(MIN(J84,Assumptions!$E$161)-Assumptions!$E$159,0)*Assumptions!$E$162+MAX(J84-Assumptions!$E$161,0)*Assumptions!$E$163+MIN(J84,Assumptions!$E$165)*Assumptions!$E$164)</x:f>
        <x:v>308.6089044273067</x:v>
      </x:c>
      <x:c r="O84" s="26" t="str">
        <x:v>S34;S41;S42;S43;A18</x:v>
      </x:c>
      <x:c r="P84" s="26"/>
      <x:c r="Q84" s="26"/>
      <x:c r="R84" s="26"/>
      <x:c r="S84" s="26"/>
      <x:c r="U84" s="1196"/>
      <x:c r="V84" s="1196"/>
      <x:c r="W84" s="1196"/>
      <x:c r="X84" s="1196"/>
    </x:row>
    <x:row r="85">
      <x:c r="A85" s="26" t="n">
        <x:v>41</x:v>
      </x:c>
      <x:c r="B85" s="26" t="n">
        <x:v>61</x:v>
      </x:c>
      <x:c r="C85" s="26" t="str">
        <x:v>55–64</x:v>
      </x:c>
      <x:c r="D85" s="962" t="n">
        <x:f>Assumptions!$E$154</x:f>
        <x:v>37</x:v>
      </x:c>
      <x:c r="E85" s="963" t="n">
        <x:f>Assumptions!$E$150</x:f>
        <x:v>1.027</x:v>
      </x:c>
      <x:c r="F85" s="932" t="n">
        <x:f>Assumptions!$E$138</x:f>
        <x:v>37</x:v>
      </x:c>
      <x:c r="G85" s="932" t="n">
        <x:f>Assumptions!$E$139</x:f>
        <x:v>52</x:v>
      </x:c>
      <x:c r="H85" s="932" t="n">
        <x:f>Assumptions!$E$137</x:f>
        <x:v>0.85</x:v>
      </x:c>
      <x:c r="I85" s="963" t="n">
        <x:f>(1+Assumptions!$E$140)^(A85-1)</x:f>
        <x:v>1.2207942364867916</x:v>
      </x:c>
      <x:c r="J85" s="167" t="n">
        <x:f>D85*E85*F85*G85*I85</x:f>
        <x:v>89252.3594099113</x:v>
      </x:c>
      <x:c r="K85" s="964" t="n">
        <x:f>1/(1+Assumptions!$E$15)^A85</x:f>
        <x:v>0.4440102109659181</x:v>
      </x:c>
      <x:c r="L85" s="964" t="n">
        <x:f>1/(1+Assumptions!$E$53)^A85</x:f>
        <x:v>0.2002779275605202</x:v>
      </x:c>
      <x:c r="M85" s="964" t="n">
        <x:f>1/(1+Assumptions!$E$16)^A85</x:f>
        <x:v>0.04262123453730931</x:v>
      </x:c>
      <x:c r="N85" s="965" t="n">
        <x:f>(MIN(J85*1.01,Assumptions!$E$155)*Assumptions!$E$156+MAX(MIN(J85*1.01,Assumptions!$E$157)-Assumptions!$E$155,0)*Assumptions!$E$158+MAX(MIN(J85*1.01,Assumptions!$E$159)-Assumptions!$E$157,0)*Assumptions!$E$160+MAX(MIN(J85*1.01,Assumptions!$E$161)-Assumptions!$E$159,0)*Assumptions!$E$162+MAX(J85*1.01-Assumptions!$E$161,0)*Assumptions!$E$163+MIN(J85*1.01,Assumptions!$E$165)*Assumptions!$E$164)-(MIN(J85,Assumptions!$E$155)*Assumptions!$E$156+MAX(MIN(J85,Assumptions!$E$157)-Assumptions!$E$155,0)*Assumptions!$E$158+MAX(MIN(J85,Assumptions!$E$159)-Assumptions!$E$157,0)*Assumptions!$E$160+MAX(MIN(J85,Assumptions!$E$161)-Assumptions!$E$159,0)*Assumptions!$E$162+MAX(J85-Assumptions!$E$161,0)*Assumptions!$E$163+MIN(J85,Assumptions!$E$165)*Assumptions!$E$164)</x:f>
        <x:v>310.15194894944216</x:v>
      </x:c>
      <x:c r="O85" s="26" t="str">
        <x:v>S34;S41;S42;S43;A18</x:v>
      </x:c>
      <x:c r="P85" s="26"/>
      <x:c r="Q85" s="26"/>
      <x:c r="R85" s="26"/>
      <x:c r="S85" s="26"/>
      <x:c r="U85" s="1196"/>
      <x:c r="V85" s="1196"/>
      <x:c r="W85" s="1196"/>
      <x:c r="X85" s="1196"/>
    </x:row>
    <x:row r="86">
      <x:c r="A86" s="26" t="n">
        <x:v>42</x:v>
      </x:c>
      <x:c r="B86" s="26" t="n">
        <x:v>62</x:v>
      </x:c>
      <x:c r="C86" s="26" t="str">
        <x:v>55–64</x:v>
      </x:c>
      <x:c r="D86" s="962" t="n">
        <x:f>Assumptions!$E$154</x:f>
        <x:v>37</x:v>
      </x:c>
      <x:c r="E86" s="963" t="n">
        <x:f>Assumptions!$E$150</x:f>
        <x:v>1.027</x:v>
      </x:c>
      <x:c r="F86" s="932" t="n">
        <x:f>Assumptions!$E$138</x:f>
        <x:v>37</x:v>
      </x:c>
      <x:c r="G86" s="932" t="n">
        <x:f>Assumptions!$E$139</x:f>
        <x:v>52</x:v>
      </x:c>
      <x:c r="H86" s="932" t="n">
        <x:f>Assumptions!$E$137</x:f>
        <x:v>0.85</x:v>
      </x:c>
      <x:c r="I86" s="963" t="n">
        <x:f>(1+Assumptions!$E$140)^(A86-1)</x:f>
        <x:v>1.2268982076692254</x:v>
      </x:c>
      <x:c r="J86" s="167" t="n">
        <x:f>D86*E86*F86*G86*I86</x:f>
        <x:v>89698.62120696083</x:v>
      </x:c>
      <x:c r="K86" s="964" t="n">
        <x:f>1/(1+Assumptions!$E$15)^A86</x:f>
        <x:v>0.4353041283979589</x:v>
      </x:c>
      <x:c r="L86" s="964" t="n">
        <x:f>1/(1+Assumptions!$E$53)^A86</x:f>
        <x:v>0.19257493034665407</x:v>
      </x:c>
      <x:c r="M86" s="964" t="n">
        <x:f>1/(1+Assumptions!$E$16)^A86</x:f>
        <x:v>0.03946410605306418</x:v>
      </x:c>
      <x:c r="N86" s="965" t="n">
        <x:f>(MIN(J86*1.01,Assumptions!$E$155)*Assumptions!$E$156+MAX(MIN(J86*1.01,Assumptions!$E$157)-Assumptions!$E$155,0)*Assumptions!$E$158+MAX(MIN(J86*1.01,Assumptions!$E$159)-Assumptions!$E$157,0)*Assumptions!$E$160+MAX(MIN(J86*1.01,Assumptions!$E$161)-Assumptions!$E$159,0)*Assumptions!$E$162+MAX(J86*1.01-Assumptions!$E$161,0)*Assumptions!$E$163+MIN(J86*1.01,Assumptions!$E$165)*Assumptions!$E$164)-(MIN(J86,Assumptions!$E$155)*Assumptions!$E$156+MAX(MIN(J86,Assumptions!$E$157)-Assumptions!$E$155,0)*Assumptions!$E$158+MAX(MIN(J86,Assumptions!$E$159)-Assumptions!$E$157,0)*Assumptions!$E$160+MAX(MIN(J86,Assumptions!$E$161)-Assumptions!$E$159,0)*Assumptions!$E$162+MAX(J86-Assumptions!$E$161,0)*Assumptions!$E$163+MIN(J86,Assumptions!$E$165)*Assumptions!$E$164)</x:f>
        <x:v>311.7027086941853</x:v>
      </x:c>
      <x:c r="O86" s="26" t="str">
        <x:v>S34;S41;S42;S43;A18</x:v>
      </x:c>
      <x:c r="P86" s="26"/>
      <x:c r="Q86" s="26"/>
      <x:c r="R86" s="26"/>
      <x:c r="S86" s="26"/>
      <x:c r="U86" s="1196"/>
      <x:c r="V86" s="1196"/>
      <x:c r="W86" s="1196"/>
      <x:c r="X86" s="1196"/>
    </x:row>
    <x:row r="87">
      <x:c r="A87" s="26" t="n">
        <x:v>43</x:v>
      </x:c>
      <x:c r="B87" s="26" t="n">
        <x:v>63</x:v>
      </x:c>
      <x:c r="C87" s="26" t="str">
        <x:v>55–64</x:v>
      </x:c>
      <x:c r="D87" s="962" t="n">
        <x:f>Assumptions!$E$154</x:f>
        <x:v>37</x:v>
      </x:c>
      <x:c r="E87" s="963" t="n">
        <x:f>Assumptions!$E$150</x:f>
        <x:v>1.027</x:v>
      </x:c>
      <x:c r="F87" s="932" t="n">
        <x:f>Assumptions!$E$138</x:f>
        <x:v>37</x:v>
      </x:c>
      <x:c r="G87" s="932" t="n">
        <x:f>Assumptions!$E$139</x:f>
        <x:v>52</x:v>
      </x:c>
      <x:c r="H87" s="932" t="n">
        <x:f>Assumptions!$E$137</x:f>
        <x:v>0.85</x:v>
      </x:c>
      <x:c r="I87" s="963" t="n">
        <x:f>(1+Assumptions!$E$140)^(A87-1)</x:f>
        <x:v>1.2330326987075713</x:v>
      </x:c>
      <x:c r="J87" s="167" t="n">
        <x:f>D87*E87*F87*G87*I87</x:f>
        <x:v>90147.11431299562</x:v>
      </x:c>
      <x:c r="K87" s="964" t="n">
        <x:f>1/(1+Assumptions!$E$15)^A87</x:f>
        <x:v>0.4267687533313323</x:v>
      </x:c>
      <x:c r="L87" s="964" t="n">
        <x:f>1/(1+Assumptions!$E$53)^A87</x:f>
        <x:v>0.18516820225639813</x:v>
      </x:c>
      <x:c r="M87" s="964" t="n">
        <x:f>1/(1+Assumptions!$E$16)^A87</x:f>
        <x:v>0.03654083893802239</x:v>
      </x:c>
      <x:c r="N87" s="965" t="n">
        <x:f>(MIN(J87*1.01,Assumptions!$E$155)*Assumptions!$E$156+MAX(MIN(J87*1.01,Assumptions!$E$157)-Assumptions!$E$155,0)*Assumptions!$E$158+MAX(MIN(J87*1.01,Assumptions!$E$159)-Assumptions!$E$157,0)*Assumptions!$E$160+MAX(MIN(J87*1.01,Assumptions!$E$161)-Assumptions!$E$159,0)*Assumptions!$E$162+MAX(J87*1.01-Assumptions!$E$161,0)*Assumptions!$E$163+MIN(J87*1.01,Assumptions!$E$165)*Assumptions!$E$164)-(MIN(J87,Assumptions!$E$155)*Assumptions!$E$156+MAX(MIN(J87,Assumptions!$E$157)-Assumptions!$E$155,0)*Assumptions!$E$158+MAX(MIN(J87,Assumptions!$E$159)-Assumptions!$E$157,0)*Assumptions!$E$160+MAX(MIN(J87,Assumptions!$E$161)-Assumptions!$E$159,0)*Assumptions!$E$162+MAX(J87-Assumptions!$E$161,0)*Assumptions!$E$163+MIN(J87,Assumptions!$E$165)*Assumptions!$E$164)</x:f>
        <x:v>313.26122223765924</x:v>
      </x:c>
      <x:c r="O87" s="26" t="str">
        <x:v>S34;S41;S42;S43;A18</x:v>
      </x:c>
      <x:c r="P87" s="26"/>
      <x:c r="Q87" s="26"/>
      <x:c r="R87" s="26"/>
      <x:c r="S87" s="26"/>
      <x:c r="U87" s="1196"/>
      <x:c r="V87" s="1196"/>
      <x:c r="W87" s="1196"/>
      <x:c r="X87" s="1196"/>
    </x:row>
    <x:row r="88">
      <x:c r="A88" s="26" t="n">
        <x:v>44</x:v>
      </x:c>
      <x:c r="B88" s="26" t="n">
        <x:v>64</x:v>
      </x:c>
      <x:c r="C88" s="26" t="str">
        <x:v>55–64</x:v>
      </x:c>
      <x:c r="D88" s="962" t="n">
        <x:f>Assumptions!$E$154</x:f>
        <x:v>37</x:v>
      </x:c>
      <x:c r="E88" s="963" t="n">
        <x:f>Assumptions!$E$150</x:f>
        <x:v>1.027</x:v>
      </x:c>
      <x:c r="F88" s="932" t="n">
        <x:f>Assumptions!$E$138</x:f>
        <x:v>37</x:v>
      </x:c>
      <x:c r="G88" s="932" t="n">
        <x:f>Assumptions!$E$139</x:f>
        <x:v>52</x:v>
      </x:c>
      <x:c r="H88" s="932" t="n">
        <x:f>Assumptions!$E$137</x:f>
        <x:v>0.85</x:v>
      </x:c>
      <x:c r="I88" s="963" t="n">
        <x:f>(1+Assumptions!$E$140)^(A88-1)</x:f>
        <x:v>1.239197862201109</x:v>
      </x:c>
      <x:c r="J88" s="167" t="n">
        <x:f>D88*E88*F88*G88*I88</x:f>
        <x:v>90597.8498845606</x:v>
      </x:c>
      <x:c r="K88" s="964" t="n">
        <x:f>1/(1+Assumptions!$E$15)^A88</x:f>
        <x:v>0.41840073856012966</x:v>
      </x:c>
      <x:c r="L88" s="964" t="n">
        <x:f>1/(1+Assumptions!$E$53)^A88</x:f>
        <x:v>0.17804634832345972</x:v>
      </x:c>
      <x:c r="M88" s="964" t="n">
        <x:f>1/(1+Assumptions!$E$16)^A88</x:f>
        <x:v>0.0338341101277985</x:v>
      </x:c>
      <x:c r="N88" s="965" t="n">
        <x:f>(MIN(J88*1.01,Assumptions!$E$155)*Assumptions!$E$156+MAX(MIN(J88*1.01,Assumptions!$E$157)-Assumptions!$E$155,0)*Assumptions!$E$158+MAX(MIN(J88*1.01,Assumptions!$E$159)-Assumptions!$E$157,0)*Assumptions!$E$160+MAX(MIN(J88*1.01,Assumptions!$E$161)-Assumptions!$E$159,0)*Assumptions!$E$162+MAX(J88*1.01-Assumptions!$E$161,0)*Assumptions!$E$163+MIN(J88*1.01,Assumptions!$E$165)*Assumptions!$E$164)-(MIN(J88,Assumptions!$E$155)*Assumptions!$E$156+MAX(MIN(J88,Assumptions!$E$157)-Assumptions!$E$155,0)*Assumptions!$E$158+MAX(MIN(J88,Assumptions!$E$159)-Assumptions!$E$157,0)*Assumptions!$E$160+MAX(MIN(J88,Assumptions!$E$161)-Assumptions!$E$159,0)*Assumptions!$E$162+MAX(J88-Assumptions!$E$161,0)*Assumptions!$E$163+MIN(J88,Assumptions!$E$165)*Assumptions!$E$164)</x:f>
        <x:v>314.8275283488474</x:v>
      </x:c>
      <x:c r="O88" s="26" t="str">
        <x:v>S34;S41;S42;S43;A18</x:v>
      </x:c>
      <x:c r="P88" s="26"/>
      <x:c r="Q88" s="26"/>
      <x:c r="R88" s="26"/>
      <x:c r="S88" s="26"/>
      <x:c r="U88" s="1196"/>
      <x:c r="V88" s="1196"/>
      <x:c r="W88" s="1196"/>
      <x:c r="X88" s="1196"/>
    </x:row>
    <x:row r="89">
      <x:c r="A89" s="26"/>
      <x:c r="B89" s="26"/>
      <x:c r="C89" s="26"/>
      <x:c r="D89" s="26"/>
      <x:c r="E89" s="26"/>
      <x:c r="F89" s="26"/>
      <x:c r="G89" s="26"/>
      <x:c r="H89" s="26"/>
      <x:c r="I89" s="26"/>
      <x:c r="J89" s="26"/>
      <x:c r="K89" s="26"/>
      <x:c r="L89" s="26"/>
      <x:c r="M89" s="26"/>
      <x:c r="N89" s="26"/>
      <x:c r="O89" s="26"/>
      <x:c r="P89" s="26"/>
      <x:c r="Q89" s="26"/>
      <x:c r="R89" s="26"/>
      <x:c r="S89" s="26"/>
      <x:c r="U89" s="1196"/>
      <x:c r="V89" s="1196"/>
      <x:c r="W89" s="1196"/>
      <x:c r="X89" s="1196"/>
    </x:row>
    <x:row r="90">
      <x:c r="A90" s="943" t="str">
        <x:v>PV of a 1% real earnings uplift per effective employed participant</x:v>
      </x:c>
      <x:c r="B90" s="943"/>
      <x:c r="C90" s="943"/>
      <x:c r="D90" s="943"/>
      <x:c r="E90" s="943"/>
      <x:c r="F90" s="943"/>
      <x:c r="G90" s="943"/>
      <x:c r="H90" s="943"/>
      <x:c r="I90" s="943"/>
      <x:c r="J90" s="943"/>
      <x:c r="K90" s="944" t="n">
        <x:f>SUMPRODUCT(J45:J88,K45:K88)*1%</x:f>
        <x:v>22837.796463001287</x:v>
      </x:c>
      <x:c r="L90" s="944" t="n">
        <x:f>SUMPRODUCT(J45:J88,L45:L88)*1%</x:f>
        <x:v>15599.294742322358</x:v>
      </x:c>
      <x:c r="M90" s="944" t="n">
        <x:f>SUMPRODUCT(J45:J88,M45:M88)*1%</x:f>
        <x:v>8588.922099713627</x:v>
      </x:c>
      <x:c r="N90" s="943" t="str">
        <x:v>2% Treasury-aligned / 4% intermediate / 8% high</x:v>
      </x:c>
      <x:c r="O90" s="26"/>
      <x:c r="P90" s="26"/>
      <x:c r="Q90" s="26"/>
      <x:c r="R90" s="26"/>
      <x:c r="S90" s="26"/>
      <x:c r="U90" s="1196"/>
      <x:c r="V90" s="1196"/>
      <x:c r="W90" s="1196"/>
      <x:c r="X90" s="1196"/>
    </x:row>
    <x:row r="91">
      <x:c r="A91" s="947" t="str">
        <x:v>PV of incremental income tax and ACC from a 1% earnings uplift per effective employed participant</x:v>
      </x:c>
      <x:c r="B91" s="947"/>
      <x:c r="C91" s="947"/>
      <x:c r="D91" s="947"/>
      <x:c r="E91" s="947"/>
      <x:c r="F91" s="947"/>
      <x:c r="G91" s="947"/>
      <x:c r="H91" s="947"/>
      <x:c r="I91" s="947"/>
      <x:c r="J91" s="947"/>
      <x:c r="K91" s="948" t="n">
        <x:f>SUMPRODUCT(N45:N88,K45:K88)</x:f>
        <x:v>7449.912488482769</x:v>
      </x:c>
      <x:c r="L91" s="948" t="n">
        <x:f>SUMPRODUCT(N45:N88,L45:L88)</x:f>
        <x:v>4978.471834437476</x:v>
      </x:c>
      <x:c r="M91" s="948" t="n">
        <x:f>SUMPRODUCT(N45:N88,M45:M88)</x:f>
        <x:v>2611.33992982718</x:v>
      </x:c>
      <x:c r="N91" s="947" t="str">
        <x:v>2% Treasury-aligned / 4% intermediate / 8% high</x:v>
      </x:c>
      <x:c r="O91" s="26"/>
      <x:c r="P91" s="26"/>
      <x:c r="Q91" s="26"/>
      <x:c r="R91" s="26"/>
      <x:c r="S91" s="26"/>
      <x:c r="U91" s="1196"/>
      <x:c r="V91" s="1196"/>
      <x:c r="W91" s="1196"/>
      <x:c r="X91" s="1196"/>
    </x:row>
    <x:row r="92">
      <x:c r="A92" s="26"/>
      <x:c r="B92" s="26"/>
      <x:c r="C92" s="26"/>
      <x:c r="D92" s="26"/>
      <x:c r="E92" s="26"/>
      <x:c r="F92" s="26"/>
      <x:c r="G92" s="26"/>
      <x:c r="H92" s="26"/>
      <x:c r="I92" s="26"/>
      <x:c r="J92" s="26"/>
      <x:c r="K92" s="26"/>
      <x:c r="L92" s="26"/>
      <x:c r="M92" s="26"/>
      <x:c r="N92" s="26"/>
      <x:c r="O92" s="26"/>
      <x:c r="P92" s="26"/>
      <x:c r="Q92" s="26"/>
      <x:c r="R92" s="26"/>
      <x:c r="S92" s="26"/>
      <x:c r="U92" s="1196"/>
      <x:c r="V92" s="1196"/>
      <x:c r="W92" s="1196"/>
      <x:c r="X92" s="1196"/>
    </x:row>
    <x:row r="93">
      <x:c r="A93" s="26"/>
      <x:c r="B93" s="26"/>
      <x:c r="C93" s="26"/>
      <x:c r="D93" s="26"/>
      <x:c r="E93" s="26"/>
      <x:c r="F93" s="26"/>
      <x:c r="G93" s="26"/>
      <x:c r="H93" s="26"/>
      <x:c r="I93" s="26"/>
      <x:c r="J93" s="26"/>
      <x:c r="K93" s="26"/>
      <x:c r="L93" s="26"/>
      <x:c r="M93" s="26"/>
      <x:c r="N93" s="26"/>
      <x:c r="O93" s="26"/>
      <x:c r="P93" s="26"/>
      <x:c r="Q93" s="26"/>
      <x:c r="R93" s="26"/>
      <x:c r="S93" s="26"/>
      <x:c r="U93" s="1196"/>
      <x:c r="V93" s="1196"/>
      <x:c r="W93" s="1196"/>
      <x:c r="X93" s="1196"/>
    </x:row>
    <x:row r="94" ht="23" customHeight="1">
      <x:c r="A94" s="905" t="str">
        <x:v>Whole-cohort earnings sensitivity — mature national design</x:v>
      </x:c>
      <x:c r="B94" s="905"/>
      <x:c r="C94" s="905"/>
      <x:c r="D94" s="905"/>
      <x:c r="E94" s="905"/>
      <x:c r="F94" s="905"/>
      <x:c r="G94" s="905"/>
      <x:c r="H94" s="905"/>
      <x:c r="I94" s="905"/>
      <x:c r="J94" s="905"/>
      <x:c r="K94" s="905"/>
      <x:c r="L94" s="905"/>
      <x:c r="M94" s="905"/>
      <x:c r="N94" s="905"/>
      <x:c r="O94" s="905"/>
      <x:c r="P94" s="905"/>
      <x:c r="Q94" s="905"/>
      <x:c r="R94" s="905"/>
      <x:c r="S94" s="905"/>
      <x:c r="U94" s="1196"/>
      <x:c r="V94" s="1196"/>
      <x:c r="W94" s="1196"/>
      <x:c r="X94" s="1196"/>
    </x:row>
    <x:row r="95" ht="30" customHeight="1">
      <x:c r="A95" s="909" t="str">
        <x:v>Earnings uplift</x:v>
      </x:c>
      <x:c r="B95" s="909" t="str">
        <x:v>Effective affected employed population</x:v>
      </x:c>
      <x:c r="C95" s="909" t="str">
        <x:v>Lifetime earnings PV — 2%</x:v>
      </x:c>
      <x:c r="D95" s="909" t="str">
        <x:v>Lifetime earnings PV — 4%</x:v>
      </x:c>
      <x:c r="E95" s="909" t="str">
        <x:v>Lifetime earnings PV — 8%</x:v>
      </x:c>
      <x:c r="F95" s="909" t="str">
        <x:v>Tax + ACC PV — 2%</x:v>
      </x:c>
      <x:c r="G95" s="909" t="str">
        <x:v>Tax + ACC PV — 4%</x:v>
      </x:c>
      <x:c r="H95" s="909" t="str">
        <x:v>Tax + ACC PV — 8%</x:v>
      </x:c>
      <x:c r="I95" s="909" t="str">
        <x:v>Benefit savings PV — 4%</x:v>
      </x:c>
      <x:c r="J95" s="1050" t="str">
        <x:v>Full-expenditure social-investment BCR — 2%</x:v>
      </x:c>
      <x:c r="K95" s="1050" t="str">
        <x:v>Full-expenditure social-investment BCR — 4%</x:v>
      </x:c>
      <x:c r="L95" s="1050" t="str">
        <x:v>Full-expenditure social-investment BCR — 8%</x:v>
      </x:c>
      <x:c r="M95" s="1050" t="str">
        <x:v>Crown fiscal coverage — 4%</x:v>
      </x:c>
      <x:c r="N95" s="1050" t="str">
        <x:v>Interpretation</x:v>
      </x:c>
      <x:c r="O95" s="1057" t="str">
        <x:v>Provisional alternative economic treatment of participant transfers — not Treasury-confirmed — 2%</x:v>
      </x:c>
      <x:c r="P95" s="1057" t="str">
        <x:v>Provisional alternative economic treatment of participant transfers — not Treasury-confirmed — 4%</x:v>
      </x:c>
      <x:c r="Q95" s="1057" t="str">
        <x:v>Provisional alternative economic treatment of participant transfers — not Treasury-confirmed — 8%</x:v>
      </x:c>
      <x:c r="R95" s="1060" t="str">
        <x:v>Method status</x:v>
      </x:c>
      <x:c r="S95" s="1060" t="str">
        <x:v>Uplift interpretation</x:v>
      </x:c>
      <x:c r="U95" s="1196"/>
      <x:c r="V95" s="1196"/>
      <x:c r="W95" s="1196"/>
      <x:c r="X95" s="1196"/>
    </x:row>
    <x:row r="96">
      <x:c r="A96" s="966" t="n">
        <x:v>0</x:v>
      </x:c>
      <x:c r="B96" s="967" t="n">
        <x:f>$B$41</x:f>
        <x:v>8583.853270349473</x:v>
      </x:c>
      <x:c r="C96" s="968" t="n">
        <x:f>B96*$K$90*(A96/1%)</x:f>
        <x:v>0</x:v>
      </x:c>
      <x:c r="D96" s="968" t="n">
        <x:f>B96*$L$90*(A96/1%)</x:f>
        <x:v>0</x:v>
      </x:c>
      <x:c r="E96" s="968" t="n">
        <x:f>B96*$M$90*(A96/1%)</x:f>
        <x:v>0</x:v>
      </x:c>
      <x:c r="F96" s="968" t="n">
        <x:f>B96*$K$91*(A96/1%)</x:f>
        <x:v>0</x:v>
      </x:c>
      <x:c r="G96" s="968" t="n">
        <x:f>B96*$L$91*(A96/1%)</x:f>
        <x:v>0</x:v>
      </x:c>
      <x:c r="H96" s="968" t="n">
        <x:f>B96*$M$91*(A96/1%)</x:f>
        <x:v>0</x:v>
      </x:c>
      <x:c r="I96" s="968" t="n">
        <x:f>$B$39*Assumptions!$E$148*Assumptions!$E$149*Assumptions!$E$48/(1+Assumptions!$E$53)^2</x:f>
        <x:v>1602843.3811791833</x:v>
      </x:c>
      <x:c r="J96" s="1052" t="n">
        <x:f>('Benefits &amp; BCR'!$C$24+'Cohort Bridge'!$D$30+C96)/'Stage 2 - National'!$K$48</x:f>
        <x:v>0.25333759922376436</x:v>
      </x:c>
      <x:c r="K96" s="1052" t="n">
        <x:f>('Benefits &amp; BCR'!$C$24+'Cohort Bridge'!$D$30+D96)/'Stage 2 - National'!$K$48</x:f>
        <x:v>0.25333759922376436</x:v>
      </x:c>
      <x:c r="L96" s="1052" t="n">
        <x:f>('Benefits &amp; BCR'!$C$24+'Cohort Bridge'!$D$30+E96)/'Stage 2 - National'!$K$48</x:f>
        <x:v>0.25333759922376436</x:v>
      </x:c>
      <x:c r="M96" s="1052" t="n">
        <x:f>('Benefits &amp; BCR'!$C$25+'Cohort Bridge'!$D$30+G96+I96)/('Stage 2 - National'!$K$48-'Delivery Scenarios'!$B$14)</x:f>
        <x:v>0.11112842821032895</x:v>
      </x:c>
      <x:c r="N96" s="1051" t="str">
        <x:v>Sensitivity only; the uplift is not a forecast.</x:v>
      </x:c>
      <x:c r="O96" s="1051" t="n">
        <x:f>('Benefits &amp; BCR'!$C$24+'Cohort Bridge'!$D$30+C96)/('Stage 2 - National'!$K$48-'Stage 2 - National'!$K$15)</x:f>
        <x:v>1.245820816324538</x:v>
      </x:c>
      <x:c r="P96" s="1051" t="n">
        <x:f>('Benefits &amp; BCR'!$C$24+'Cohort Bridge'!$D$30+D96)/('Stage 2 - National'!$K$48-'Stage 2 - National'!$K$15)</x:f>
        <x:v>1.245820816324538</x:v>
      </x:c>
      <x:c r="Q96" s="1051" t="n">
        <x:f>('Benefits &amp; BCR'!$C$24+'Cohort Bridge'!$D$30+E96)/('Stage 2 - National'!$K$48-'Stage 2 - National'!$K$15)</x:f>
        <x:v>1.245820816324538</x:v>
      </x:c>
      <x:c r="R96" s="26" t="str">
        <x:v>Provisional methodology — Treasury confirmation required</x:v>
      </x:c>
      <x:c r="S96" s="26" t="str">
        <x:v>Affected-population uplift; see Earnings Uplift Bridge for cohort-equivalent measures.</x:v>
      </x:c>
      <x:c r="U96" s="1196"/>
      <x:c r="V96" s="1196"/>
      <x:c r="W96" s="1196"/>
      <x:c r="X96" s="1196"/>
    </x:row>
    <x:row r="97">
      <x:c r="A97" s="966" t="n">
        <x:v>0.0025</x:v>
      </x:c>
      <x:c r="B97" s="967" t="n">
        <x:f>$B$41</x:f>
        <x:v>8583.853270349473</x:v>
      </x:c>
      <x:c r="C97" s="968" t="n">
        <x:f>B97*$K$90*(A97/1%)</x:f>
        <x:v>49009073.4641273</x:v>
      </x:c>
      <x:c r="D97" s="968" t="n">
        <x:f>B97*$L$90*(A97/1%)</x:f>
        <x:v>33475514.297257278</x:v>
      </x:c>
      <x:c r="E97" s="968" t="n">
        <x:f>B97*$M$90*(A97/1%)</x:f>
        <x:v>18431511.76360092</x:v>
      </x:c>
      <x:c r="F97" s="968" t="n">
        <x:f>B97*$K$91*(A97/1%)</x:f>
        <x:v>15987238.919520048</x:v>
      </x:c>
      <x:c r="G97" s="968" t="n">
        <x:f>B97*$L$91*(A97/1%)</x:f>
        <x:v>10683617.934344716</x:v>
      </x:c>
      <x:c r="H97" s="968" t="n">
        <x:f>B97*$M$91*(A97/1%)</x:f>
        <x:v>5603839.699160301</x:v>
      </x:c>
      <x:c r="I97" s="968" t="n">
        <x:f>$B$39*Assumptions!$E$148*Assumptions!$E$149*Assumptions!$E$48/(1+Assumptions!$E$53)^2</x:f>
        <x:v>1602843.3811791833</x:v>
      </x:c>
      <x:c r="J97" s="1052" t="n">
        <x:f>('Benefits &amp; BCR'!$C$24+'Cohort Bridge'!$D$30+C97)/'Stage 2 - National'!$K$48</x:f>
        <x:v>0.28545073851006214</x:v>
      </x:c>
      <x:c r="K97" s="1052" t="n">
        <x:f>('Benefits &amp; BCR'!$C$24+'Cohort Bridge'!$D$30+D97)/'Stage 2 - National'!$K$48</x:f>
        <x:v>0.27527239164735784</x:v>
      </x:c>
      <x:c r="L97" s="1052" t="n">
        <x:f>('Benefits &amp; BCR'!$C$24+'Cohort Bridge'!$D$30+E97)/'Stage 2 - National'!$K$48</x:f>
        <x:v>0.2654148262081675</x:v>
      </x:c>
      <x:c r="M97" s="1052" t="n">
        <x:f>('Benefits &amp; BCR'!$C$25+'Cohort Bridge'!$D$30+G97+I97)/('Stage 2 - National'!$K$48-'Delivery Scenarios'!$B$14)</x:f>
        <x:v>0.11812885663218689</x:v>
      </x:c>
      <x:c r="N97" s="1051" t="str">
        <x:v>Sensitivity only; the uplift is not a forecast.</x:v>
      </x:c>
      <x:c r="O97" s="1051" t="n">
        <x:f>('Benefits &amp; BCR'!$C$24+'Cohort Bridge'!$D$30+C97)/('Stage 2 - National'!$K$48-'Stage 2 - National'!$K$15)</x:f>
        <x:v>1.4037413836741248</x:v>
      </x:c>
      <x:c r="P97" s="1051" t="n">
        <x:f>('Benefits &amp; BCR'!$C$24+'Cohort Bridge'!$D$30+D97)/('Stage 2 - National'!$K$48-'Stage 2 - National'!$K$15)</x:f>
        <x:v>1.3536880302193603</x:v>
      </x:c>
      <x:c r="Q97" s="1051" t="n">
        <x:f>('Benefits &amp; BCR'!$C$24+'Cohort Bridge'!$D$30+E97)/('Stage 2 - National'!$K$48-'Stage 2 - National'!$K$15)</x:f>
        <x:v>1.3052121614179923</x:v>
      </x:c>
      <x:c r="R97" s="26" t="str">
        <x:v>Provisional methodology — Treasury confirmation required</x:v>
      </x:c>
      <x:c r="S97" s="26" t="str">
        <x:v>Affected-population uplift; see Earnings Uplift Bridge for cohort-equivalent measures.</x:v>
      </x:c>
      <x:c r="U97" s="1196"/>
      <x:c r="V97" s="1196"/>
      <x:c r="W97" s="1196"/>
      <x:c r="X97" s="1196"/>
    </x:row>
    <x:row r="98">
      <x:c r="A98" s="966" t="n">
        <x:v>0.005</x:v>
      </x:c>
      <x:c r="B98" s="967" t="n">
        <x:f>$B$41</x:f>
        <x:v>8583.853270349473</x:v>
      </x:c>
      <x:c r="C98" s="968" t="n">
        <x:f>B98*$K$90*(A98/1%)</x:f>
        <x:v>98018146.9282546</x:v>
      </x:c>
      <x:c r="D98" s="968" t="n">
        <x:f>B98*$L$90*(A98/1%)</x:f>
        <x:v>66951028.594514556</x:v>
      </x:c>
      <x:c r="E98" s="968" t="n">
        <x:f>B98*$M$90*(A98/1%)</x:f>
        <x:v>36863023.52720184</x:v>
      </x:c>
      <x:c r="F98" s="968" t="n">
        <x:f>B98*$K$91*(A98/1%)</x:f>
        <x:v>31974477.839040097</x:v>
      </x:c>
      <x:c r="G98" s="968" t="n">
        <x:f>B98*$L$91*(A98/1%)</x:f>
        <x:v>21367235.868689433</x:v>
      </x:c>
      <x:c r="H98" s="968" t="n">
        <x:f>B98*$M$91*(A98/1%)</x:f>
        <x:v>11207679.398320602</x:v>
      </x:c>
      <x:c r="I98" s="968" t="n">
        <x:f>$B$39*Assumptions!$E$148*Assumptions!$E$149*Assumptions!$E$48/(1+Assumptions!$E$53)^2</x:f>
        <x:v>1602843.3811791833</x:v>
      </x:c>
      <x:c r="J98" s="1052" t="n">
        <x:f>('Benefits &amp; BCR'!$C$24+'Cohort Bridge'!$D$30+C98)/'Stage 2 - National'!$K$48</x:f>
        <x:v>0.31756387779636</x:v>
      </x:c>
      <x:c r="K98" s="1052" t="n">
        <x:f>('Benefits &amp; BCR'!$C$24+'Cohort Bridge'!$D$30+D98)/'Stage 2 - National'!$K$48</x:f>
        <x:v>0.2972071840709513</x:v>
      </x:c>
      <x:c r="L98" s="1052" t="n">
        <x:f>('Benefits &amp; BCR'!$C$24+'Cohort Bridge'!$D$30+E98)/'Stage 2 - National'!$K$48</x:f>
        <x:v>0.2774920531925706</x:v>
      </x:c>
      <x:c r="M98" s="1052" t="n">
        <x:f>('Benefits &amp; BCR'!$C$25+'Cohort Bridge'!$D$30+G98+I98)/('Stage 2 - National'!$K$48-'Delivery Scenarios'!$B$14)</x:f>
        <x:v>0.12512928505404483</x:v>
      </x:c>
      <x:c r="N98" s="1051" t="str">
        <x:v>Sensitivity only; the uplift is not a forecast.</x:v>
      </x:c>
      <x:c r="O98" s="1051" t="n">
        <x:f>('Benefits &amp; BCR'!$C$24+'Cohort Bridge'!$D$30+C98)/('Stage 2 - National'!$K$48-'Stage 2 - National'!$K$15)</x:f>
        <x:v>1.5616619510237117</x:v>
      </x:c>
      <x:c r="P98" s="1051" t="n">
        <x:f>('Benefits &amp; BCR'!$C$24+'Cohort Bridge'!$D$30+D98)/('Stage 2 - National'!$K$48-'Stage 2 - National'!$K$15)</x:f>
        <x:v>1.4615552441141824</x:v>
      </x:c>
      <x:c r="Q98" s="1051" t="n">
        <x:f>('Benefits &amp; BCR'!$C$24+'Cohort Bridge'!$D$30+E98)/('Stage 2 - National'!$K$48-'Stage 2 - National'!$K$15)</x:f>
        <x:v>1.3646035065114466</x:v>
      </x:c>
      <x:c r="R98" s="26" t="str">
        <x:v>Provisional methodology — Treasury confirmation required</x:v>
      </x:c>
      <x:c r="S98" s="26" t="str">
        <x:v>Affected-population uplift; see Earnings Uplift Bridge for cohort-equivalent measures.</x:v>
      </x:c>
      <x:c r="U98" s="1196"/>
      <x:c r="V98" s="1196"/>
      <x:c r="W98" s="1196"/>
      <x:c r="X98" s="1196"/>
    </x:row>
    <x:row r="99">
      <x:c r="A99" s="966" t="n">
        <x:v>0.01</x:v>
      </x:c>
      <x:c r="B99" s="967" t="n">
        <x:f>$B$41</x:f>
        <x:v>8583.853270349473</x:v>
      </x:c>
      <x:c r="C99" s="968" t="n">
        <x:f>B99*$K$90*(A99/1%)</x:f>
        <x:v>196036293.8565092</x:v>
      </x:c>
      <x:c r="D99" s="968" t="n">
        <x:f>B99*$L$90*(A99/1%)</x:f>
        <x:v>133902057.18902911</x:v>
      </x:c>
      <x:c r="E99" s="968" t="n">
        <x:f>B99*$M$90*(A99/1%)</x:f>
        <x:v>73726047.05440368</x:v>
      </x:c>
      <x:c r="F99" s="968" t="n">
        <x:f>B99*$K$91*(A99/1%)</x:f>
        <x:v>63948955.67808019</x:v>
      </x:c>
      <x:c r="G99" s="968" t="n">
        <x:f>B99*$L$91*(A99/1%)</x:f>
        <x:v>42734471.737378865</x:v>
      </x:c>
      <x:c r="H99" s="968" t="n">
        <x:f>B99*$M$91*(A99/1%)</x:f>
        <x:v>22415358.796641205</x:v>
      </x:c>
      <x:c r="I99" s="968" t="n">
        <x:f>$B$39*Assumptions!$E$148*Assumptions!$E$149*Assumptions!$E$48/(1+Assumptions!$E$53)^2</x:f>
        <x:v>1602843.3811791833</x:v>
      </x:c>
      <x:c r="J99" s="1052" t="n">
        <x:f>('Benefits &amp; BCR'!$C$24+'Cohort Bridge'!$D$30+C99)/'Stage 2 - National'!$K$48</x:f>
        <x:v>0.3817901563689555</x:v>
      </x:c>
      <x:c r="K99" s="1052" t="n">
        <x:f>('Benefits &amp; BCR'!$C$24+'Cohort Bridge'!$D$30+D99)/'Stage 2 - National'!$K$48</x:f>
        <x:v>0.3410767689181383</x:v>
      </x:c>
      <x:c r="L99" s="1052" t="n">
        <x:f>('Benefits &amp; BCR'!$C$24+'Cohort Bridge'!$D$30+E99)/'Stage 2 - National'!$K$48</x:f>
        <x:v>0.3016465071613768</x:v>
      </x:c>
      <x:c r="M99" s="1052" t="n">
        <x:f>('Benefits &amp; BCR'!$C$25+'Cohort Bridge'!$D$30+G99+I99)/('Stage 2 - National'!$K$48-'Delivery Scenarios'!$B$14)</x:f>
        <x:v>0.13913014189776074</x:v>
      </x:c>
      <x:c r="N99" s="1051" t="str">
        <x:v>Sensitivity only; the uplift is not a forecast.</x:v>
      </x:c>
      <x:c r="O99" s="1051" t="n">
        <x:f>('Benefits &amp; BCR'!$C$24+'Cohort Bridge'!$D$30+C99)/('Stage 2 - National'!$K$48-'Stage 2 - National'!$K$15)</x:f>
        <x:v>1.8775030857228854</x:v>
      </x:c>
      <x:c r="P99" s="1051" t="n">
        <x:f>('Benefits &amp; BCR'!$C$24+'Cohort Bridge'!$D$30+D99)/('Stage 2 - National'!$K$48-'Stage 2 - National'!$K$15)</x:f>
        <x:v>1.6772896719038268</x:v>
      </x:c>
      <x:c r="Q99" s="1051" t="n">
        <x:f>('Benefits &amp; BCR'!$C$24+'Cohort Bridge'!$D$30+E99)/('Stage 2 - National'!$K$48-'Stage 2 - National'!$K$15)</x:f>
        <x:v>1.4833861966983553</x:v>
      </x:c>
      <x:c r="R99" s="26" t="str">
        <x:v>Provisional methodology — Treasury confirmation required</x:v>
      </x:c>
      <x:c r="S99" s="26" t="str">
        <x:v>Affected-population uplift; see Earnings Uplift Bridge for cohort-equivalent measures.</x:v>
      </x:c>
      <x:c r="U99" s="1196"/>
      <x:c r="V99" s="1196"/>
      <x:c r="W99" s="1196"/>
      <x:c r="X99" s="1196"/>
    </x:row>
    <x:row r="100">
      <x:c r="A100" s="966" t="n">
        <x:v>0.02</x:v>
      </x:c>
      <x:c r="B100" s="967" t="n">
        <x:f>$B$41</x:f>
        <x:v>8583.853270349473</x:v>
      </x:c>
      <x:c r="C100" s="968" t="n">
        <x:f>B100*$K$90*(A100/1%)</x:f>
        <x:v>392072587.7130184</x:v>
      </x:c>
      <x:c r="D100" s="968" t="n">
        <x:f>B100*$L$90*(A100/1%)</x:f>
        <x:v>267804114.37805822</x:v>
      </x:c>
      <x:c r="E100" s="968" t="n">
        <x:f>B100*$M$90*(A100/1%)</x:f>
        <x:v>147452094.10880736</x:v>
      </x:c>
      <x:c r="F100" s="968" t="n">
        <x:f>B100*$K$91*(A100/1%)</x:f>
        <x:v>127897911.35616039</x:v>
      </x:c>
      <x:c r="G100" s="968" t="n">
        <x:f>B100*$L$91*(A100/1%)</x:f>
        <x:v>85468943.47475773</x:v>
      </x:c>
      <x:c r="H100" s="968" t="n">
        <x:f>B100*$M$91*(A100/1%)</x:f>
        <x:v>44830717.59328241</x:v>
      </x:c>
      <x:c r="I100" s="968" t="n">
        <x:f>$B$39*Assumptions!$E$148*Assumptions!$E$149*Assumptions!$E$48/(1+Assumptions!$E$53)^2</x:f>
        <x:v>1602843.3811791833</x:v>
      </x:c>
      <x:c r="J100" s="1052" t="n">
        <x:f>('Benefits &amp; BCR'!$C$24+'Cohort Bridge'!$D$30+C100)/'Stage 2 - National'!$K$48</x:f>
        <x:v>0.5102427135141467</x:v>
      </x:c>
      <x:c r="K100" s="1052" t="n">
        <x:f>('Benefits &amp; BCR'!$C$24+'Cohort Bridge'!$D$30+D100)/'Stage 2 - National'!$K$48</x:f>
        <x:v>0.42881593861251227</x:v>
      </x:c>
      <x:c r="L100" s="1052" t="n">
        <x:f>('Benefits &amp; BCR'!$C$24+'Cohort Bridge'!$D$30+E100)/'Stage 2 - National'!$K$48</x:f>
        <x:v>0.3499554150989892</x:v>
      </x:c>
      <x:c r="M100" s="1052" t="n">
        <x:f>('Benefits &amp; BCR'!$C$25+'Cohort Bridge'!$D$30+G100+I100)/('Stage 2 - National'!$K$48-'Delivery Scenarios'!$B$14)</x:f>
        <x:v>0.16713185558519256</x:v>
      </x:c>
      <x:c r="N100" s="1051" t="str">
        <x:v>Sensitivity only; the uplift is not a forecast.</x:v>
      </x:c>
      <x:c r="O100" s="1051" t="n">
        <x:f>('Benefits &amp; BCR'!$C$24+'Cohort Bridge'!$D$30+C100)/('Stage 2 - National'!$K$48-'Stage 2 - National'!$K$15)</x:f>
        <x:v>2.5091853551212324</x:v>
      </x:c>
      <x:c r="P100" s="1051" t="n">
        <x:f>('Benefits &amp; BCR'!$C$24+'Cohort Bridge'!$D$30+D100)/('Stage 2 - National'!$K$48-'Stage 2 - National'!$K$15)</x:f>
        <x:v>2.1087585274831158</x:v>
      </x:c>
      <x:c r="Q100" s="1051" t="n">
        <x:f>('Benefits &amp; BCR'!$C$24+'Cohort Bridge'!$D$30+E100)/('Stage 2 - National'!$K$48-'Stage 2 - National'!$K$15)</x:f>
        <x:v>1.7209515770721726</x:v>
      </x:c>
      <x:c r="R100" s="26" t="str">
        <x:v>Provisional methodology — Treasury confirmation required</x:v>
      </x:c>
      <x:c r="S100" s="26" t="str">
        <x:v>Affected-population uplift; see Earnings Uplift Bridge for cohort-equivalent measures.</x:v>
      </x:c>
      <x:c r="U100" s="1196"/>
      <x:c r="V100" s="1196"/>
      <x:c r="W100" s="1196"/>
      <x:c r="X100" s="1196"/>
    </x:row>
    <x:row r="101">
      <x:c r="A101" s="966" t="n">
        <x:v>0.03</x:v>
      </x:c>
      <x:c r="B101" s="967" t="n">
        <x:f>$B$41</x:f>
        <x:v>8583.853270349473</x:v>
      </x:c>
      <x:c r="C101" s="968" t="n">
        <x:f>B101*$K$90*(A101/1%)</x:f>
        <x:v>588108881.5695276</x:v>
      </x:c>
      <x:c r="D101" s="968" t="n">
        <x:f>B101*$L$90*(A101/1%)</x:f>
        <x:v>401706171.56708735</x:v>
      </x:c>
      <x:c r="E101" s="968" t="n">
        <x:f>B101*$M$90*(A101/1%)</x:f>
        <x:v>221178141.16321105</x:v>
      </x:c>
      <x:c r="F101" s="968" t="n">
        <x:f>B101*$K$91*(A101/1%)</x:f>
        <x:v>191846867.03424057</x:v>
      </x:c>
      <x:c r="G101" s="968" t="n">
        <x:f>B101*$L$91*(A101/1%)</x:f>
        <x:v>128203415.2121366</x:v>
      </x:c>
      <x:c r="H101" s="968" t="n">
        <x:f>B101*$M$91*(A101/1%)</x:f>
        <x:v>67246076.38992362</x:v>
      </x:c>
      <x:c r="I101" s="968" t="n">
        <x:f>$B$39*Assumptions!$E$148*Assumptions!$E$149*Assumptions!$E$48/(1+Assumptions!$E$53)^2</x:f>
        <x:v>1602843.3811791833</x:v>
      </x:c>
      <x:c r="J101" s="1052" t="n">
        <x:f>('Benefits &amp; BCR'!$C$24+'Cohort Bridge'!$D$30+C101)/'Stage 2 - National'!$K$48</x:f>
        <x:v>0.638695270659338</x:v>
      </x:c>
      <x:c r="K101" s="1052" t="n">
        <x:f>('Benefits &amp; BCR'!$C$24+'Cohort Bridge'!$D$30+D101)/'Stage 2 - National'!$K$48</x:f>
        <x:v>0.5165551083068862</x:v>
      </x:c>
      <x:c r="L101" s="1052" t="n">
        <x:f>('Benefits &amp; BCR'!$C$24+'Cohort Bridge'!$D$30+E101)/'Stage 2 - National'!$K$48</x:f>
        <x:v>0.39826432303660164</x:v>
      </x:c>
      <x:c r="M101" s="1052" t="n">
        <x:f>('Benefits &amp; BCR'!$C$25+'Cohort Bridge'!$D$30+G101+I101)/('Stage 2 - National'!$K$48-'Delivery Scenarios'!$B$14)</x:f>
        <x:v>0.19513356927262435</x:v>
      </x:c>
      <x:c r="N101" s="1051" t="str">
        <x:v>Sensitivity only; the uplift is not a forecast.</x:v>
      </x:c>
      <x:c r="O101" s="1051" t="n">
        <x:f>('Benefits &amp; BCR'!$C$24+'Cohort Bridge'!$D$30+C101)/('Stage 2 - National'!$K$48-'Stage 2 - National'!$K$15)</x:f>
        <x:v>3.14086762451958</x:v>
      </x:c>
      <x:c r="P101" s="1051" t="n">
        <x:f>('Benefits &amp; BCR'!$C$24+'Cohort Bridge'!$D$30+D101)/('Stage 2 - National'!$K$48-'Stage 2 - National'!$K$15)</x:f>
        <x:v>2.5402273830624043</x:v>
      </x:c>
      <x:c r="Q101" s="1051" t="n">
        <x:f>('Benefits &amp; BCR'!$C$24+'Cohort Bridge'!$D$30+E101)/('Stage 2 - National'!$K$48-'Stage 2 - National'!$K$15)</x:f>
        <x:v>1.95851695744599</x:v>
      </x:c>
      <x:c r="R101" s="26" t="str">
        <x:v>Provisional methodology — Treasury confirmation required</x:v>
      </x:c>
      <x:c r="S101" s="26" t="str">
        <x:v>Affected-population uplift; see Earnings Uplift Bridge for cohort-equivalent measures.</x:v>
      </x:c>
      <x:c r="U101" s="1196"/>
      <x:c r="V101" s="1196"/>
      <x:c r="W101" s="1196"/>
      <x:c r="X101" s="1196"/>
    </x:row>
    <x:row r="102">
      <x:c r="A102" s="970" t="n">
        <x:v>0.05</x:v>
      </x:c>
      <x:c r="B102" s="971" t="n">
        <x:f>$B$41</x:f>
        <x:v>8583.853270349473</x:v>
      </x:c>
      <x:c r="C102" s="972" t="n">
        <x:f>B102*$K$90*(A102/1%)</x:f>
        <x:v>980181469.282546</x:v>
      </x:c>
      <x:c r="D102" s="972" t="n">
        <x:f>B102*$L$90*(A102/1%)</x:f>
        <x:v>669510285.9451456</x:v>
      </x:c>
      <x:c r="E102" s="972" t="n">
        <x:f>B102*$M$90*(A102/1%)</x:f>
        <x:v>368630235.2720184</x:v>
      </x:c>
      <x:c r="F102" s="972" t="n">
        <x:f>B102*$K$91*(A102/1%)</x:f>
        <x:v>319744778.39040095</x:v>
      </x:c>
      <x:c r="G102" s="972" t="n">
        <x:f>B102*$L$91*(A102/1%)</x:f>
        <x:v>213672358.68689433</x:v>
      </x:c>
      <x:c r="H102" s="972" t="n">
        <x:f>B102*$M$91*(A102/1%)</x:f>
        <x:v>112076793.98320602</x:v>
      </x:c>
      <x:c r="I102" s="972" t="n">
        <x:f>$B$39*Assumptions!$E$148*Assumptions!$E$149*Assumptions!$E$48/(1+Assumptions!$E$53)^2</x:f>
        <x:v>1602843.3811791833</x:v>
      </x:c>
      <x:c r="J102" s="1053" t="n">
        <x:f>('Benefits &amp; BCR'!$C$24+'Cohort Bridge'!$D$30+C102)/'Stage 2 - National'!$K$48</x:f>
        <x:v>0.8956003849497204</x:v>
      </x:c>
      <x:c r="K102" s="1053" t="n">
        <x:f>('Benefits &amp; BCR'!$C$24+'Cohort Bridge'!$D$30+D102)/'Stage 2 - National'!$K$48</x:f>
        <x:v>0.6920334476956341</x:v>
      </x:c>
      <x:c r="L102" s="1053" t="n">
        <x:f>('Benefits &amp; BCR'!$C$24+'Cohort Bridge'!$D$30+E102)/'Stage 2 - National'!$K$48</x:f>
        <x:v>0.49488213891182653</x:v>
      </x:c>
      <x:c r="M102" s="1053" t="n">
        <x:f>('Benefits &amp; BCR'!$C$25+'Cohort Bridge'!$D$30+G102+I102)/('Stage 2 - National'!$K$48-'Delivery Scenarios'!$B$14)</x:f>
        <x:v>0.2511369966474879</x:v>
      </x:c>
      <x:c r="N102" s="1054" t="str">
        <x:v>Sensitivity only; the uplift is not a forecast.</x:v>
      </x:c>
      <x:c r="O102" s="1051" t="n">
        <x:f>('Benefits &amp; BCR'!$C$24+'Cohort Bridge'!$D$30+C102)/('Stage 2 - National'!$K$48-'Stage 2 - National'!$K$15)</x:f>
        <x:v>4.404232163316275</x:v>
      </x:c>
      <x:c r="P102" s="1051" t="n">
        <x:f>('Benefits &amp; BCR'!$C$24+'Cohort Bridge'!$D$30+D102)/('Stage 2 - National'!$K$48-'Stage 2 - National'!$K$15)</x:f>
        <x:v>3.403165094220982</x:v>
      </x:c>
      <x:c r="Q102" s="1051" t="n">
        <x:f>('Benefits &amp; BCR'!$C$24+'Cohort Bridge'!$D$30+E102)/('Stage 2 - National'!$K$48-'Stage 2 - National'!$K$15)</x:f>
        <x:v>2.4336477181936247</x:v>
      </x:c>
      <x:c r="R102" s="26" t="str">
        <x:v>Provisional methodology — Treasury confirmation required</x:v>
      </x:c>
      <x:c r="S102" s="26" t="str">
        <x:v>Affected-population uplift; see Earnings Uplift Bridge for cohort-equivalent measures.</x:v>
      </x:c>
      <x:c r="U102" s="1196"/>
      <x:c r="V102" s="1196"/>
      <x:c r="W102" s="1196"/>
      <x:c r="X102" s="1196"/>
    </x:row>
    <x:row r="103" ht="28" customHeight="1">
      <x:c r="A103" s="1371" t="str">
        <x:v>This calculation removes the cash-transfer component of participant payments from the national resource-cost denominator. It does not yet incorporate a validated marginal cost of public funds, deadweight cost of taxation or complete behavioural treatment. It must not be treated as a Treasury-endorsed BCR.</x:v>
      </x:c>
      <x:c r="B103" s="1371"/>
      <x:c r="C103" s="1371"/>
      <x:c r="D103" s="1371"/>
      <x:c r="E103" s="1371"/>
      <x:c r="F103" s="1371"/>
      <x:c r="G103" s="1371"/>
      <x:c r="H103" s="1371"/>
      <x:c r="I103" s="1371"/>
      <x:c r="J103" s="1371"/>
      <x:c r="K103" s="1371"/>
      <x:c r="L103" s="1371"/>
      <x:c r="M103" s="1371"/>
      <x:c r="N103" s="1371"/>
      <x:c r="O103" s="1371"/>
      <x:c r="P103" s="1371"/>
      <x:c r="Q103" s="1371"/>
      <x:c r="R103" s="1371"/>
      <x:c r="S103" s="1371"/>
      <x:c r="U103" s="1196"/>
      <x:c r="V103" s="1196"/>
      <x:c r="W103" s="1196"/>
      <x:c r="X103" s="1196"/>
    </x:row>
    <x:row r="104" ht="28" customHeight="1">
      <x:c r="A104" s="1371"/>
      <x:c r="B104" s="1371"/>
      <x:c r="C104" s="1371"/>
      <x:c r="D104" s="1371"/>
      <x:c r="E104" s="1371"/>
      <x:c r="F104" s="1371"/>
      <x:c r="G104" s="1371"/>
      <x:c r="H104" s="1371"/>
      <x:c r="I104" s="1371"/>
      <x:c r="J104" s="1371"/>
      <x:c r="K104" s="1371"/>
      <x:c r="L104" s="1371"/>
      <x:c r="M104" s="1371"/>
      <x:c r="N104" s="1371"/>
      <x:c r="O104" s="1371"/>
      <x:c r="P104" s="1371"/>
      <x:c r="Q104" s="1371"/>
      <x:c r="R104" s="1371"/>
      <x:c r="S104" s="1371"/>
      <x:c r="U104" s="1196"/>
      <x:c r="V104" s="1196"/>
      <x:c r="W104" s="1196"/>
      <x:c r="X104" s="1196"/>
    </x:row>
    <x:row r="105" ht="23" customHeight="1">
      <x:c r="A105" s="905" t="str">
        <x:v>Social and Crown break-even earnings uplifts</x:v>
      </x:c>
      <x:c r="B105" s="905"/>
      <x:c r="C105" s="905"/>
      <x:c r="D105" s="905"/>
      <x:c r="E105" s="905"/>
      <x:c r="F105" s="905"/>
      <x:c r="G105" s="905"/>
      <x:c r="H105" s="905"/>
      <x:c r="I105" s="905"/>
      <x:c r="J105" s="905"/>
      <x:c r="K105" s="905"/>
      <x:c r="L105" s="905"/>
      <x:c r="M105" s="905"/>
      <x:c r="N105" s="905"/>
      <x:c r="O105" s="905"/>
      <x:c r="P105" s="905"/>
      <x:c r="Q105" s="905"/>
      <x:c r="R105" s="905"/>
      <x:c r="S105" s="905"/>
      <x:c r="U105" s="1196"/>
      <x:c r="V105" s="1196"/>
      <x:c r="W105" s="1196"/>
      <x:c r="X105" s="1196"/>
    </x:row>
    <x:row r="106" ht="30" customHeight="1">
      <x:c r="A106" s="909" t="str">
        <x:v>Delivery scenario</x:v>
      </x:c>
      <x:c r="B106" s="909" t="str">
        <x:v>Discount rate</x:v>
      </x:c>
      <x:c r="C106" s="909" t="str">
        <x:v>Cost / Crown cash cost</x:v>
      </x:c>
      <x:c r="D106" s="909" t="str">
        <x:v>Base social benefit</x:v>
      </x:c>
      <x:c r="E106" s="909" t="str">
        <x:v>Base Crown benefit</x:v>
      </x:c>
      <x:c r="F106" s="909" t="str">
        <x:v>Effective employed participants</x:v>
      </x:c>
      <x:c r="G106" s="909" t="str">
        <x:v>Earnings PV per 1%</x:v>
      </x:c>
      <x:c r="H106" s="909" t="str">
        <x:v>Tax + ACC PV per 1%</x:v>
      </x:c>
      <x:c r="I106" s="909" t="str">
        <x:v>Benefit-savings PV</x:v>
      </x:c>
      <x:c r="J106" s="909" t="str">
        <x:v>Social break-even uplift</x:v>
      </x:c>
      <x:c r="K106" s="909" t="str">
        <x:v>Crown fiscal break-even uplift</x:v>
      </x:c>
      <x:c r="L106" s="909" t="str">
        <x:v>Combined social break-even</x:v>
      </x:c>
      <x:c r="M106" s="909" t="str">
        <x:v>Combined Crown break-even</x:v>
      </x:c>
      <x:c r="N106" s="909" t="str">
        <x:v>Committed funding</x:v>
      </x:c>
      <x:c r="O106" s="909" t="str">
        <x:v>Result at 5% uplift</x:v>
      </x:c>
      <x:c r="P106" s="909" t="str">
        <x:v>Interpretation</x:v>
      </x:c>
      <x:c r="Q106" s="26"/>
      <x:c r="R106" s="26"/>
      <x:c r="S106" s="26"/>
      <x:c r="U106" s="1196"/>
      <x:c r="V106" s="1196"/>
      <x:c r="W106" s="1196"/>
      <x:c r="X106" s="1196"/>
    </x:row>
    <x:row r="107">
      <x:c r="A107" s="26" t="str">
        <x:v>Universal core only</x:v>
      </x:c>
      <x:c r="B107" s="185" t="n">
        <x:v>0.02</x:v>
      </x:c>
      <x:c r="C107" s="968" t="n">
        <x:f>'Delivery Scenarios'!$G$20</x:f>
        <x:v>825136870.3583333</x:v>
      </x:c>
      <x:c r="D107" s="968" t="n">
        <x:f>'Benefits &amp; BCR'!$C$24*'Delivery Scenarios'!$I$20+'Cohort Bridge'!$D$30*0.5</x:f>
        <x:v>193314034.1853897</x:v>
      </x:c>
      <x:c r="E107" s="968" t="n">
        <x:f>'Benefits &amp; BCR'!$C$25*'Delivery Scenarios'!$I$20+'Cohort Bridge'!$D$30*0.5</x:f>
        <x:v>83997221.84216624</x:v>
      </x:c>
      <x:c r="F107" s="968" t="n">
        <x:f>('Delivery Scenarios'!$C$20-'Benefits &amp; BCR'!$C$18*'Delivery Scenarios'!$I$20)*'Delivery Scenarios'!$J$20*Assumptions!$E$141*Assumptions!$E$142*Assumptions!$E$143*(1-Assumptions!$E$144)*(1-Assumptions!$E$145)*(1-Assumptions!$E$146)*Assumptions!$E$137</x:f>
        <x:v>7814.379978467764</x:v>
      </x:c>
      <x:c r="G107" s="968" t="n">
        <x:f>F107*$K$90</x:f>
        <x:v>178463219.43279916</x:v>
      </x:c>
      <x:c r="H107" s="968" t="n">
        <x:f>F107*$K$91</x:f>
        <x:v>58216446.9913367</x:v>
      </x:c>
      <x:c r="I107" s="968" t="n">
        <x:f>MAX(0,F107/Assumptions!$E$137)*Assumptions!$E$148*Assumptions!$E$149*Assumptions!$E$48/(1+B107)^2</x:f>
        <x:v>1516944.4002347072</x:v>
      </x:c>
      <x:c r="J107" s="974" t="n">
        <x:f>MAX(0,(C107-D107)/G107)*1%</x:f>
        <x:v>0.03540353234582649</x:v>
      </x:c>
      <x:c r="K107" s="974" t="n">
        <x:f>MAX(0,(C107-'Delivery Scenarios'!$K$20-E107-I107)/H107)*1%</x:f>
        <x:v>0.1270470360765914</x:v>
      </x:c>
      <x:c r="L107" s="974" t="n">
        <x:f>MAX(0,(C107-D107-='Justice Sensitivity'!$G$7*'Delivery Scenarios'!$I$20)/G107)*1%</x:f>
        <x:v>0.03532046453648535</x:v>
      </x:c>
      <x:c r="M107" s="974" t="n">
        <x:f>MAX(0,(C107-'Delivery Scenarios'!$K$20-E107-I107)/H107)*1%</x:f>
        <x:v>0.1270470360765914</x:v>
      </x:c>
      <x:c r="N107" s="968" t="n">
        <x:f>'Delivery Scenarios'!$K$20</x:f>
        <x:v>0</x:v>
      </x:c>
      <x:c r="O107" s="969" t="n">
        <x:f>(D107+G107*5)/C107</x:f>
        <x:v>1.3156970320304888</x:v>
      </x:c>
      <x:c r="P107" s="26" t="str">
        <x:v>Social return may cross 1.0x before Crown fiscal coverage reaches 1.0x.</x:v>
      </x:c>
      <x:c r="Q107" s="26"/>
      <x:c r="R107" s="26"/>
      <x:c r="S107" s="26"/>
      <x:c r="U107" s="1196"/>
      <x:c r="V107" s="1196"/>
      <x:c r="W107" s="1196"/>
      <x:c r="X107" s="1196"/>
    </x:row>
    <x:row r="108">
      <x:c r="A108" s="911" t="str">
        <x:v>Universal core only</x:v>
      </x:c>
      <x:c r="B108" s="975" t="n">
        <x:v>0.04</x:v>
      </x:c>
      <x:c r="C108" s="972" t="n">
        <x:f>'Delivery Scenarios'!$G$20</x:f>
        <x:v>825136870.3583333</x:v>
      </x:c>
      <x:c r="D108" s="972" t="n">
        <x:f>'Benefits &amp; BCR'!$C$24*'Delivery Scenarios'!$I$20+'Cohort Bridge'!$D$30*0.5</x:f>
        <x:v>193314034.1853897</x:v>
      </x:c>
      <x:c r="E108" s="972" t="n">
        <x:f>'Benefits &amp; BCR'!$C$25*'Delivery Scenarios'!$I$20+'Cohort Bridge'!$D$30*0.5</x:f>
        <x:v>83997221.84216624</x:v>
      </x:c>
      <x:c r="F108" s="972" t="n">
        <x:f>('Delivery Scenarios'!$C$20-'Benefits &amp; BCR'!$C$18*'Delivery Scenarios'!$I$20)*'Delivery Scenarios'!$J$20*Assumptions!$E$141*Assumptions!$E$142*Assumptions!$E$143*(1-Assumptions!$E$144)*(1-Assumptions!$E$145)*(1-Assumptions!$E$146)*Assumptions!$E$137</x:f>
        <x:v>7814.379978467764</x:v>
      </x:c>
      <x:c r="G108" s="972" t="n">
        <x:f>F108*$L$90</x:f>
        <x:v>121898816.51262128</x:v>
      </x:c>
      <x:c r="H108" s="972" t="n">
        <x:f>F108*$L$91</x:f>
        <x:v>38903670.62639389</x:v>
      </x:c>
      <x:c r="I108" s="972" t="n">
        <x:f>MAX(0,F108/Assumptions!$E$137)*Assumptions!$E$148*Assumptions!$E$149*Assumptions!$E$48/(1+B108)^2</x:f>
        <x:v>1459161.38498908</x:v>
      </x:c>
      <x:c r="J108" s="976" t="n">
        <x:f>MAX(0,(C108-D108)/G108)*1%</x:f>
        <x:v>0.05183174490521204</x:v>
      </x:c>
      <x:c r="K108" s="976" t="n">
        <x:f>MAX(0,(C108-'Delivery Scenarios'!$K$20-E108-I108)/H108)*1%</x:f>
        <x:v>0.19013128458612533</x:v>
      </x:c>
      <x:c r="L108" s="976" t="n">
        <x:f>MAX(0,(C108-D108-='Justice Sensitivity'!$G$7*'Delivery Scenarios'!$I$20)/G108)*1%</x:f>
        <x:v>0.05171013134808029</x:v>
      </x:c>
      <x:c r="M108" s="976" t="n">
        <x:f>MAX(0,(C108-'Delivery Scenarios'!$K$20-E108-I108)/H108)*1%</x:f>
        <x:v>0.19013128458612533</x:v>
      </x:c>
      <x:c r="N108" s="972" t="n">
        <x:f>'Delivery Scenarios'!$K$20</x:f>
        <x:v>0</x:v>
      </x:c>
      <x:c r="O108" s="973" t="n">
        <x:f>(D108+G108*5)/C108</x:f>
        <x:v>0.9729393335676049</x:v>
      </x:c>
      <x:c r="P108" s="911" t="str">
        <x:v>Social return may cross 1.0x before Crown fiscal coverage reaches 1.0x.</x:v>
      </x:c>
      <x:c r="Q108" s="26"/>
      <x:c r="R108" s="26"/>
      <x:c r="S108" s="26"/>
      <x:c r="U108" s="1196"/>
      <x:c r="V108" s="1196"/>
      <x:c r="W108" s="1196"/>
      <x:c r="X108" s="1196"/>
    </x:row>
    <x:row r="109">
      <x:c r="A109" s="26" t="str">
        <x:v>Universal core only</x:v>
      </x:c>
      <x:c r="B109" s="185" t="n">
        <x:v>0.08</x:v>
      </x:c>
      <x:c r="C109" s="968" t="n">
        <x:f>'Delivery Scenarios'!$G$20</x:f>
        <x:v>825136870.3583333</x:v>
      </x:c>
      <x:c r="D109" s="968" t="n">
        <x:f>'Benefits &amp; BCR'!$C$24*'Delivery Scenarios'!$I$20+'Cohort Bridge'!$D$30*0.5</x:f>
        <x:v>193314034.1853897</x:v>
      </x:c>
      <x:c r="E109" s="968" t="n">
        <x:f>'Benefits &amp; BCR'!$C$25*'Delivery Scenarios'!$I$20+'Cohort Bridge'!$D$30*0.5</x:f>
        <x:v>83997221.84216624</x:v>
      </x:c>
      <x:c r="F109" s="968" t="n">
        <x:f>('Delivery Scenarios'!$C$20-'Benefits &amp; BCR'!$C$18*'Delivery Scenarios'!$I$20)*'Delivery Scenarios'!$J$20*Assumptions!$E$141*Assumptions!$E$142*Assumptions!$E$143*(1-Assumptions!$E$144)*(1-Assumptions!$E$145)*(1-Assumptions!$E$146)*Assumptions!$E$137</x:f>
        <x:v>7814.379978467764</x:v>
      </x:c>
      <x:c r="G109" s="968" t="n">
        <x:f>F109*$M$90</x:f>
        <x:v>67117100.89262147</x:v>
      </x:c>
      <x:c r="H109" s="968" t="n">
        <x:f>F109*$M$91</x:f>
        <x:v>20406002.46461493</x:v>
      </x:c>
      <x:c r="I109" s="968" t="n">
        <x:f>MAX(0,F109/Assumptions!$E$137)*Assumptions!$E$148*Assumptions!$E$149*Assumptions!$E$48/(1+B109)^2</x:f>
        <x:v>1353076.9495920688</x:v>
      </x:c>
      <x:c r="J109" s="974" t="n">
        <x:f>MAX(0,(C109-D109)/G109)*1%</x:f>
        <x:v>0.09413738492426499</x:v>
      </x:c>
      <x:c r="K109" s="974" t="n">
        <x:f>MAX(0,(C109-'Delivery Scenarios'!$K$20-E109-I109)/H109)*1%</x:f>
        <x:v>0.3625338048691327</x:v>
      </x:c>
      <x:c r="L109" s="974" t="n">
        <x:f>MAX(0,(C109-D109-='Justice Sensitivity'!$G$7*'Delivery Scenarios'!$I$20)/G109)*1%</x:f>
        <x:v>0.09391650904480814</x:v>
      </x:c>
      <x:c r="M109" s="974" t="n">
        <x:f>MAX(0,(C109-'Delivery Scenarios'!$K$20-E109-I109)/H109)*1%</x:f>
        <x:v>0.3625338048691327</x:v>
      </x:c>
      <x:c r="N109" s="968" t="n">
        <x:f>'Delivery Scenarios'!$K$20</x:f>
        <x:v>0</x:v>
      </x:c>
      <x:c r="O109" s="969" t="n">
        <x:f>(D109+G109*5)/C109</x:f>
        <x:v>0.640984008409188</x:v>
      </x:c>
      <x:c r="P109" s="26" t="str">
        <x:v>Social return may cross 1.0x before Crown fiscal coverage reaches 1.0x.</x:v>
      </x:c>
      <x:c r="Q109" s="26"/>
      <x:c r="R109" s="26"/>
      <x:c r="S109" s="26"/>
      <x:c r="U109" s="1196"/>
      <x:c r="V109" s="1196"/>
      <x:c r="W109" s="1196"/>
      <x:c r="X109" s="1196"/>
    </x:row>
    <x:row r="110">
      <x:c r="A110" s="26" t="str">
        <x:v>Universal core plus targeted accelerator</x:v>
      </x:c>
      <x:c r="B110" s="185" t="n">
        <x:v>0.02</x:v>
      </x:c>
      <x:c r="C110" s="968" t="n">
        <x:f>'Delivery Scenarios'!$G$21</x:f>
        <x:v>875015750.3583333</x:v>
      </x:c>
      <x:c r="D110" s="968" t="n">
        <x:f>'Benefits &amp; BCR'!$C$24*'Delivery Scenarios'!$I$21+'Cohort Bridge'!$D$30*0.75</x:f>
        <x:v>385171144.08262974</x:v>
      </x:c>
      <x:c r="E110" s="968" t="n">
        <x:f>'Benefits &amp; BCR'!$C$25*'Delivery Scenarios'!$I$21+'Cohort Bridge'!$D$30*0.75</x:f>
        <x:v>166537519.39618286</x:v>
      </x:c>
      <x:c r="F110" s="968" t="n">
        <x:f>('Delivery Scenarios'!$C$21-'Benefits &amp; BCR'!$C$18*'Delivery Scenarios'!$I$21)*'Delivery Scenarios'!$J$21*Assumptions!$E$141*Assumptions!$E$142*Assumptions!$E$143*(1-Assumptions!$E$144)*(1-Assumptions!$E$145)*(1-Assumptions!$E$146)*Assumptions!$E$137</x:f>
        <x:v>9442.238597384423</x:v>
      </x:c>
      <x:c r="G110" s="968" t="n">
        <x:f>F110*$K$90</x:f>
        <x:v>215639923.2421602</x:v>
      </x:c>
      <x:c r="H110" s="968" t="n">
        <x:f>F110*$K$91</x:f>
        <x:v>70343851.24588823</x:v>
      </x:c>
      <x:c r="I110" s="968" t="n">
        <x:f>MAX(0,F110/Assumptions!$E$137)*Assumptions!$E$148*Assumptions!$E$149*Assumptions!$E$48/(1+B110)^2</x:f>
        <x:v>1832947.848127399</x:v>
      </x:c>
      <x:c r="J110" s="974" t="n">
        <x:f>MAX(0,(C110-D110)/G110)*1%</x:f>
        <x:v>0.022715858868379204</x:v>
      </x:c>
      <x:c r="K110" s="974" t="n">
        <x:f>MAX(0,(C110-'Delivery Scenarios'!$K$21-E110-I110)/H110)*1%</x:f>
        <x:v>0.10045587078306695</x:v>
      </x:c>
      <x:c r="L110" s="974" t="n">
        <x:f>MAX(0,(C110-D110-='Justice Sensitivity'!$G$7*'Delivery Scenarios'!$I$21)/G110)*1%</x:f>
        <x:v>0.022578365323924526</x:v>
      </x:c>
      <x:c r="M110" s="974" t="n">
        <x:f>MAX(0,(C110-'Delivery Scenarios'!$K$21-E110-I110)/H110)*1%</x:f>
        <x:v>0.10045587078306695</x:v>
      </x:c>
      <x:c r="N110" s="968" t="n">
        <x:f>'Delivery Scenarios'!$K$21</x:f>
        <x:v>0</x:v>
      </x:c>
      <x:c r="O110" s="969" t="n">
        <x:f>(D110+G110*5)/C110</x:f>
        <x:v>1.6723936222795492</x:v>
      </x:c>
      <x:c r="P110" s="26" t="str">
        <x:v>Social return may cross 1.0x before Crown fiscal coverage reaches 1.0x.</x:v>
      </x:c>
      <x:c r="Q110" s="26"/>
      <x:c r="R110" s="26"/>
      <x:c r="S110" s="26"/>
      <x:c r="U110" s="1196"/>
      <x:c r="V110" s="1196"/>
      <x:c r="W110" s="1196"/>
      <x:c r="X110" s="1196"/>
    </x:row>
    <x:row r="111">
      <x:c r="A111" s="911" t="str">
        <x:v>Universal core plus targeted accelerator</x:v>
      </x:c>
      <x:c r="B111" s="975" t="n">
        <x:v>0.04</x:v>
      </x:c>
      <x:c r="C111" s="972" t="n">
        <x:f>'Delivery Scenarios'!$G$21</x:f>
        <x:v>875015750.3583333</x:v>
      </x:c>
      <x:c r="D111" s="972" t="n">
        <x:f>'Benefits &amp; BCR'!$C$24*'Delivery Scenarios'!$I$21+'Cohort Bridge'!$D$30*0.75</x:f>
        <x:v>385171144.08262974</x:v>
      </x:c>
      <x:c r="E111" s="972" t="n">
        <x:f>'Benefits &amp; BCR'!$C$25*'Delivery Scenarios'!$I$21+'Cohort Bridge'!$D$30*0.75</x:f>
        <x:v>166537519.39618286</x:v>
      </x:c>
      <x:c r="F111" s="972" t="n">
        <x:f>('Delivery Scenarios'!$C$21-'Benefits &amp; BCR'!$C$18*'Delivery Scenarios'!$I$21)*'Delivery Scenarios'!$J$21*Assumptions!$E$141*Assumptions!$E$142*Assumptions!$E$143*(1-Assumptions!$E$144)*(1-Assumptions!$E$145)*(1-Assumptions!$E$146)*Assumptions!$E$137</x:f>
        <x:v>9442.238597384423</x:v>
      </x:c>
      <x:c r="G111" s="972" t="n">
        <x:f>F111*$L$90</x:f>
        <x:v>147292262.90793207</x:v>
      </x:c>
      <x:c r="H111" s="972" t="n">
        <x:f>F111*$L$91</x:f>
        <x:v>47007918.91111677</x:v>
      </x:c>
      <x:c r="I111" s="972" t="n">
        <x:f>MAX(0,F111/Assumptions!$E$137)*Assumptions!$E$148*Assumptions!$E$149*Assumptions!$E$48/(1+B111)^2</x:f>
        <x:v>1763127.7192971022</x:v>
      </x:c>
      <x:c r="J111" s="976" t="n">
        <x:f>MAX(0,(C111-D111)/G111)*1%</x:f>
        <x:v>0.033256642039771675</x:v>
      </x:c>
      <x:c r="K111" s="976" t="n">
        <x:f>MAX(0,(C111-'Delivery Scenarios'!$K$21-E111-I111)/H111)*1%</x:f>
        <x:v>0.15033958524714106</x:v>
      </x:c>
      <x:c r="L111" s="976" t="n">
        <x:f>MAX(0,(C111-D111-='Justice Sensitivity'!$G$7*'Delivery Scenarios'!$I$21)/G111)*1%</x:f>
        <x:v>0.033055347709797046</x:v>
      </x:c>
      <x:c r="M111" s="976" t="n">
        <x:f>MAX(0,(C111-'Delivery Scenarios'!$K$21-E111-I111)/H111)*1%</x:f>
        <x:v>0.15033958524714106</x:v>
      </x:c>
      <x:c r="N111" s="972" t="n">
        <x:f>'Delivery Scenarios'!$K$21</x:f>
        <x:v>0</x:v>
      </x:c>
      <x:c r="O111" s="973" t="n">
        <x:f>(D111+G111*5)/C111</x:f>
        <x:v>1.2818425933052784</x:v>
      </x:c>
      <x:c r="P111" s="911" t="str">
        <x:v>Social return may cross 1.0x before Crown fiscal coverage reaches 1.0x.</x:v>
      </x:c>
      <x:c r="Q111" s="26"/>
      <x:c r="R111" s="26"/>
      <x:c r="S111" s="26"/>
      <x:c r="U111" s="1196"/>
      <x:c r="V111" s="1196"/>
      <x:c r="W111" s="1196"/>
      <x:c r="X111" s="1196"/>
    </x:row>
    <x:row r="112">
      <x:c r="A112" s="26" t="str">
        <x:v>Universal core plus targeted accelerator</x:v>
      </x:c>
      <x:c r="B112" s="185" t="n">
        <x:v>0.08</x:v>
      </x:c>
      <x:c r="C112" s="968" t="n">
        <x:f>'Delivery Scenarios'!$G$21</x:f>
        <x:v>875015750.3583333</x:v>
      </x:c>
      <x:c r="D112" s="968" t="n">
        <x:f>'Benefits &amp; BCR'!$C$24*'Delivery Scenarios'!$I$21+'Cohort Bridge'!$D$30*0.75</x:f>
        <x:v>385171144.08262974</x:v>
      </x:c>
      <x:c r="E112" s="968" t="n">
        <x:f>'Benefits &amp; BCR'!$C$25*'Delivery Scenarios'!$I$21+'Cohort Bridge'!$D$30*0.75</x:f>
        <x:v>166537519.39618286</x:v>
      </x:c>
      <x:c r="F112" s="968" t="n">
        <x:f>('Delivery Scenarios'!$C$21-'Benefits &amp; BCR'!$C$18*'Delivery Scenarios'!$I$21)*'Delivery Scenarios'!$J$21*Assumptions!$E$141*Assumptions!$E$142*Assumptions!$E$143*(1-Assumptions!$E$144)*(1-Assumptions!$E$145)*(1-Assumptions!$E$146)*Assumptions!$E$137</x:f>
        <x:v>9442.238597384423</x:v>
      </x:c>
      <x:c r="G112" s="968" t="n">
        <x:f>F112*$M$90</x:f>
        <x:v>81098651.75984406</x:v>
      </x:c>
      <x:c r="H112" s="968" t="n">
        <x:f>F112*$M$91</x:f>
        <x:v>24656894.67630533</x:v>
      </x:c>
      <x:c r="I112" s="968" t="n">
        <x:f>MAX(0,F112/Assumptions!$E$137)*Assumptions!$E$148*Assumptions!$E$149*Assumptions!$E$48/(1+B112)^2</x:f>
        <x:v>1634944.2225580812</x:v>
      </x:c>
      <x:c r="J112" s="974" t="n">
        <x:f>MAX(0,(C112-D112)/G112)*1%</x:f>
        <x:v>0.06040107888923621</x:v>
      </x:c>
      <x:c r="K112" s="974" t="n">
        <x:f>MAX(0,(C112-'Delivery Scenarios'!$K$21-E112-I112)/H112)*1%</x:f>
        <x:v>0.2866716575704285</x:v>
      </x:c>
      <x:c r="L112" s="974" t="n">
        <x:f>MAX(0,(C112-D112-='Justice Sensitivity'!$G$7*'Delivery Scenarios'!$I$21)/G112)*1%</x:f>
        <x:v>0.0600354859141483</x:v>
      </x:c>
      <x:c r="M112" s="974" t="n">
        <x:f>MAX(0,(C112-'Delivery Scenarios'!$K$21-E112-I112)/H112)*1%</x:f>
        <x:v>0.2866716575704285</x:v>
      </x:c>
      <x:c r="N112" s="968" t="n">
        <x:f>'Delivery Scenarios'!$K$21</x:f>
        <x:v>0</x:v>
      </x:c>
      <x:c r="O112" s="969" t="n">
        <x:f>(D112+G112*5)/C112</x:f>
        <x:v>0.9036001952628394</x:v>
      </x:c>
      <x:c r="P112" s="26" t="str">
        <x:v>Social return may cross 1.0x before Crown fiscal coverage reaches 1.0x.</x:v>
      </x:c>
      <x:c r="Q112" s="26"/>
      <x:c r="R112" s="26"/>
      <x:c r="S112" s="26"/>
      <x:c r="U112" s="1196"/>
      <x:c r="V112" s="1196"/>
      <x:c r="W112" s="1196"/>
      <x:c r="X112" s="1196"/>
    </x:row>
    <x:row r="113">
      <x:c r="A113" s="26" t="str">
        <x:v>Targeted pilot</x:v>
      </x:c>
      <x:c r="B113" s="185" t="n">
        <x:v>0.02</x:v>
      </x:c>
      <x:c r="C113" s="968" t="n">
        <x:f>'Delivery Scenarios'!$G$22</x:f>
        <x:v>97579970.263125</x:v>
      </x:c>
      <x:c r="D113" s="968" t="n">
        <x:f>'Benefits &amp; BCR'!$B$24+'Benefits &amp; BCR'!$B$64</x:f>
        <x:v>42493412.4724618</x:v>
      </x:c>
      <x:c r="E113" s="968" t="n">
        <x:f>'Benefits &amp; BCR'!$B$25+'Benefits &amp; BCR'!$B$64</x:f>
        <x:v>17946985.242257297</x:v>
      </x:c>
      <x:c r="F113" s="968" t="n">
        <x:f>(Assumptions!$E$17-'Benefits &amp; BCR'!$B$18)*'Delivery Scenarios'!$J$22*Assumptions!$E$141*Assumptions!$E$142*Assumptions!$E$143*(1-Assumptions!$E$144)*(1-Assumptions!$E$145)*(1-Assumptions!$E$146)*Assumptions!$E$137</x:f>
        <x:v>683.23497165</x:v>
      </x:c>
      <x:c r="G113" s="968" t="n">
        <x:f>F113*$K$90</x:f>
        <x:v>15603581.218947155</x:v>
      </x:c>
      <x:c r="H113" s="968" t="n">
        <x:f>F113*$K$91</x:f>
        <x:v>5090040.747863506</x:v>
      </x:c>
      <x:c r="I113" s="968" t="n">
        <x:f>MAX(0,F113/Assumptions!$E$137)*Assumptions!$E$148*Assumptions!$E$149*Assumptions!$E$48/(1+B113)^2</x:f>
        <x:v>132631.05545735298</x:v>
      </x:c>
      <x:c r="J113" s="974" t="n">
        <x:f>MAX(0,(C113-D113)/G113)*1%</x:f>
        <x:v>0.03530379149356595</x:v>
      </x:c>
      <x:c r="K113" s="974" t="n">
        <x:f>MAX(0,(C113-'Delivery Scenarios'!$K$22-E113-I113)/H113)*1%</x:f>
        <x:v>0.15618805016203424</x:v>
      </x:c>
      <x:c r="L113" s="974" t="n">
        <x:f>MAX(0,(C113-D113-'Justice Sensitivity'!$G$7*'Benefits &amp; BCR'!$B$18/'Benefits &amp; BCR'!$C$18)/G113)*1%</x:f>
        <x:v>0.035090458255939844</x:v>
      </x:c>
      <x:c r="M113" s="974" t="n">
        <x:f>MAX(0,(C113-'Delivery Scenarios'!$K$22-E113-I113)/H113)*1%</x:f>
        <x:v>0.15618805016203424</x:v>
      </x:c>
      <x:c r="N113" s="968" t="n">
        <x:f>'Delivery Scenarios'!$K$22</x:f>
        <x:v>0</x:v>
      </x:c>
      <x:c r="O113" s="969" t="n">
        <x:f>(D113+G113*5)/C113</x:f>
        <x:v>1.2350005666351203</x:v>
      </x:c>
      <x:c r="P113" s="26" t="str">
        <x:v>Social return may cross 1.0x before Crown fiscal coverage reaches 1.0x.</x:v>
      </x:c>
      <x:c r="Q113" s="26"/>
      <x:c r="R113" s="26"/>
      <x:c r="S113" s="26"/>
      <x:c r="U113" s="1196"/>
      <x:c r="V113" s="1196"/>
      <x:c r="W113" s="1196"/>
      <x:c r="X113" s="1196"/>
    </x:row>
    <x:row r="114">
      <x:c r="A114" s="911" t="str">
        <x:v>Targeted pilot</x:v>
      </x:c>
      <x:c r="B114" s="975" t="n">
        <x:v>0.04</x:v>
      </x:c>
      <x:c r="C114" s="972" t="n">
        <x:f>'Delivery Scenarios'!$G$22</x:f>
        <x:v>97579970.263125</x:v>
      </x:c>
      <x:c r="D114" s="972" t="n">
        <x:f>'Benefits &amp; BCR'!$B$24+'Benefits &amp; BCR'!$B$64</x:f>
        <x:v>42493412.4724618</x:v>
      </x:c>
      <x:c r="E114" s="972" t="n">
        <x:f>'Benefits &amp; BCR'!$B$25+'Benefits &amp; BCR'!$B$64</x:f>
        <x:v>17946985.242257297</x:v>
      </x:c>
      <x:c r="F114" s="972" t="n">
        <x:f>(Assumptions!$E$17-'Benefits &amp; BCR'!$B$18)*'Delivery Scenarios'!$J$22*Assumptions!$E$141*Assumptions!$E$142*Assumptions!$E$143*(1-Assumptions!$E$144)*(1-Assumptions!$E$145)*(1-Assumptions!$E$146)*Assumptions!$E$137</x:f>
        <x:v>683.23497165</x:v>
      </x:c>
      <x:c r="G114" s="972" t="n">
        <x:f>F114*$L$90</x:f>
        <x:v>10657983.70103061</x:v>
      </x:c>
      <x:c r="H114" s="972" t="n">
        <x:f>F114*$L$91</x:f>
        <x:v>3401466.0626622126</x:v>
      </x:c>
      <x:c r="I114" s="972" t="n">
        <x:f>MAX(0,F114/Assumptions!$E$137)*Assumptions!$E$148*Assumptions!$E$149*Assumptions!$E$48/(1+B114)^2</x:f>
        <x:v>127578.91096323042</x:v>
      </x:c>
      <x:c r="J114" s="976" t="n">
        <x:f>MAX(0,(C114-D114)/G114)*1%</x:f>
        <x:v>0.05168572155475939</x:v>
      </x:c>
      <x:c r="K114" s="976" t="n">
        <x:f>MAX(0,(C114-'Delivery Scenarios'!$K$22-E114-I114)/H114)*1%</x:f>
        <x:v>0.23373864282414236</x:v>
      </x:c>
      <x:c r="L114" s="976" t="n">
        <x:f>MAX(0,(C114-D114-'Justice Sensitivity'!$G$7*'Benefits &amp; BCR'!$B$18/'Benefits &amp; BCR'!$C$18)/G114)*1%</x:f>
        <x:v>0.05137339582848922</x:v>
      </x:c>
      <x:c r="M114" s="976" t="n">
        <x:f>MAX(0,(C114-'Delivery Scenarios'!$K$22-E114-I114)/H114)*1%</x:f>
        <x:v>0.23373864282414236</x:v>
      </x:c>
      <x:c r="N114" s="972" t="n">
        <x:f>'Delivery Scenarios'!$K$22</x:f>
        <x:v>0</x:v>
      </x:c>
      <x:c r="O114" s="973" t="n">
        <x:f>(D114+G114*5)/C114</x:f>
        <x:v>0.9815880320452496</x:v>
      </x:c>
      <x:c r="P114" s="911" t="str">
        <x:v>Social return may cross 1.0x before Crown fiscal coverage reaches 1.0x.</x:v>
      </x:c>
      <x:c r="Q114" s="26"/>
      <x:c r="R114" s="26"/>
      <x:c r="S114" s="26"/>
      <x:c r="U114" s="1196"/>
      <x:c r="V114" s="1196"/>
      <x:c r="W114" s="1196"/>
      <x:c r="X114" s="1196"/>
    </x:row>
    <x:row r="115">
      <x:c r="A115" s="26" t="str">
        <x:v>Targeted pilot</x:v>
      </x:c>
      <x:c r="B115" s="185" t="n">
        <x:v>0.08</x:v>
      </x:c>
      <x:c r="C115" s="968" t="n">
        <x:f>'Delivery Scenarios'!$G$22</x:f>
        <x:v>97579970.263125</x:v>
      </x:c>
      <x:c r="D115" s="968" t="n">
        <x:f>'Benefits &amp; BCR'!$B$24+'Benefits &amp; BCR'!$B$64</x:f>
        <x:v>42493412.4724618</x:v>
      </x:c>
      <x:c r="E115" s="968" t="n">
        <x:f>'Benefits &amp; BCR'!$B$25+'Benefits &amp; BCR'!$B$64</x:f>
        <x:v>17946985.242257297</x:v>
      </x:c>
      <x:c r="F115" s="968" t="n">
        <x:f>(Assumptions!$E$17-'Benefits &amp; BCR'!$B$18)*'Delivery Scenarios'!$J$22*Assumptions!$E$141*Assumptions!$E$142*Assumptions!$E$143*(1-Assumptions!$E$144)*(1-Assumptions!$E$145)*(1-Assumptions!$E$146)*Assumptions!$E$137</x:f>
        <x:v>683.23497165</x:v>
      </x:c>
      <x:c r="G115" s="968" t="n">
        <x:f>F115*$M$90</x:f>
        <x:v>5868251.947301899</x:v>
      </x:c>
      <x:c r="H115" s="968" t="n">
        <x:f>F115*$M$91</x:f>
        <x:v>1784158.7629239864</x:v>
      </x:c>
      <x:c r="I115" s="968" t="n">
        <x:f>MAX(0,F115/Assumptions!$E$137)*Assumptions!$E$148*Assumptions!$E$149*Assumptions!$E$48/(1+B115)^2</x:f>
        <x:v>118303.62662708334</x:v>
      </x:c>
      <x:c r="J115" s="974" t="n">
        <x:f>MAX(0,(C115-D115)/G115)*1%</x:f>
        <x:v>0.09387217570982254</x:v>
      </x:c>
      <x:c r="K115" s="974" t="n">
        <x:f>MAX(0,(C115-'Delivery Scenarios'!$K$22-E115-I115)/H115)*1%</x:f>
        <x:v>0.44567043609912377</x:v>
      </x:c>
      <x:c r="L115" s="974" t="n">
        <x:f>MAX(0,(C115-D115-'Justice Sensitivity'!$G$7*'Benefits &amp; BCR'!$B$18/'Benefits &amp; BCR'!$C$18)/G115)*1%</x:f>
        <x:v>0.0933049262921266</x:v>
      </x:c>
      <x:c r="M115" s="974" t="n">
        <x:f>MAX(0,(C115-'Delivery Scenarios'!$K$22-E115-I115)/H115)*1%</x:f>
        <x:v>0.44567043609912377</x:v>
      </x:c>
      <x:c r="N115" s="968" t="n">
        <x:f>'Delivery Scenarios'!$K$22</x:f>
        <x:v>0</x:v>
      </x:c>
      <x:c r="O115" s="969" t="n">
        <x:f>(D115+G115*5)/C115</x:f>
        <x:v>0.7361620629240678</x:v>
      </x:c>
      <x:c r="P115" s="26" t="str">
        <x:v>Social return may cross 1.0x before Crown fiscal coverage reaches 1.0x.</x:v>
      </x:c>
      <x:c r="Q115" s="26"/>
      <x:c r="R115" s="26"/>
      <x:c r="S115" s="26"/>
      <x:c r="U115" s="1196"/>
      <x:c r="V115" s="1196"/>
      <x:c r="W115" s="1196"/>
      <x:c r="X115" s="1196"/>
    </x:row>
    <x:row r="116">
      <x:c r="A116" s="26" t="str">
        <x:v>Mature national design</x:v>
      </x:c>
      <x:c r="B116" s="185" t="n">
        <x:v>0.02</x:v>
      </x:c>
      <x:c r="C116" s="968" t="n">
        <x:f>'Delivery Scenarios'!$G$23</x:f>
        <x:v>1526137729.0833335</x:v>
      </x:c>
      <x:c r="D116" s="968" t="n">
        <x:f>'Benefits &amp; BCR'!$C$24*'Delivery Scenarios'!$I$23+'Cohort Bridge'!$D$30*1.0</x:f>
        <x:v>386628068.3707794</x:v>
      </x:c>
      <x:c r="E116" s="968" t="n">
        <x:f>'Benefits &amp; BCR'!$C$25*'Delivery Scenarios'!$I$23+'Cohort Bridge'!$D$30*1.0</x:f>
        <x:v>167994443.6843325</x:v>
      </x:c>
      <x:c r="F116" s="968" t="n">
        <x:f>('Delivery Scenarios'!$C$23-'Benefits &amp; BCR'!$C$18*'Delivery Scenarios'!$I$23)*'Delivery Scenarios'!$J$23*Assumptions!$E$141*Assumptions!$E$142*Assumptions!$E$143*(1-Assumptions!$E$144)*(1-Assumptions!$E$145)*(1-Assumptions!$E$146)*Assumptions!$E$137</x:f>
        <x:v>8583.853270349473</x:v>
      </x:c>
      <x:c r="G116" s="968" t="n">
        <x:f>F116*$K$90</x:f>
        <x:v>196036293.8565092</x:v>
      </x:c>
      <x:c r="H116" s="968" t="n">
        <x:f>F116*$K$91</x:f>
        <x:v>63948955.67808019</x:v>
      </x:c>
      <x:c r="I116" s="968" t="n">
        <x:f>MAX(0,F116/Assumptions!$E$137)*Assumptions!$E$148*Assumptions!$E$149*Assumptions!$E$48/(1+B116)^2</x:f>
        <x:v>1666316.2255703623</x:v>
      </x:c>
      <x:c r="J116" s="974" t="n">
        <x:f>MAX(0,(C116-D116)/G116)*1%</x:f>
        <x:v>0.058127484370145754</x:v>
      </x:c>
      <x:c r="K116" s="974" t="n">
        <x:f>MAX(0,(C116-'Delivery Scenarios'!$K$23-E116-I116)/H116)*1%</x:f>
        <x:v>0.21211870542530076</x:v>
      </x:c>
      <x:c r="L116" s="974" t="n">
        <x:f>MAX(0,(C116-D116-='Justice Sensitivity'!$G$7*'Delivery Scenarios'!$I$23)/G116)*1%</x:f>
        <x:v>0.0579762414712456</x:v>
      </x:c>
      <x:c r="M116" s="974" t="n">
        <x:f>MAX(0,(C116-'Delivery Scenarios'!$K$23-E116-I116)/H116)*1%</x:f>
        <x:v>0.21211870542530076</x:v>
      </x:c>
      <x:c r="N116" s="968" t="n">
        <x:f>'Delivery Scenarios'!$K$23</x:f>
        <x:v>0</x:v>
      </x:c>
      <x:c r="O116" s="969" t="n">
        <x:f>(D116+G116*5)/C116</x:f>
        <x:v>0.8956003849497204</x:v>
      </x:c>
      <x:c r="P116" s="26" t="str">
        <x:v>Social return may cross 1.0x before Crown fiscal coverage reaches 1.0x.</x:v>
      </x:c>
      <x:c r="Q116" s="26"/>
      <x:c r="R116" s="26"/>
      <x:c r="S116" s="26"/>
      <x:c r="U116" s="1196"/>
      <x:c r="V116" s="1196"/>
      <x:c r="W116" s="1196"/>
      <x:c r="X116" s="1196"/>
    </x:row>
    <x:row r="117">
      <x:c r="A117" s="911" t="str">
        <x:v>Mature national design</x:v>
      </x:c>
      <x:c r="B117" s="975" t="n">
        <x:v>0.04</x:v>
      </x:c>
      <x:c r="C117" s="972" t="n">
        <x:f>'Delivery Scenarios'!$G$23</x:f>
        <x:v>1526137729.0833335</x:v>
      </x:c>
      <x:c r="D117" s="972" t="n">
        <x:f>'Benefits &amp; BCR'!$C$24*'Delivery Scenarios'!$I$23+'Cohort Bridge'!$D$30*1.0</x:f>
        <x:v>386628068.3707794</x:v>
      </x:c>
      <x:c r="E117" s="972" t="n">
        <x:f>'Benefits &amp; BCR'!$C$25*'Delivery Scenarios'!$I$23+'Cohort Bridge'!$D$30*1.0</x:f>
        <x:v>167994443.6843325</x:v>
      </x:c>
      <x:c r="F117" s="972" t="n">
        <x:f>('Delivery Scenarios'!$C$23-'Benefits &amp; BCR'!$C$18*'Delivery Scenarios'!$I$23)*'Delivery Scenarios'!$J$23*Assumptions!$E$141*Assumptions!$E$142*Assumptions!$E$143*(1-Assumptions!$E$144)*(1-Assumptions!$E$145)*(1-Assumptions!$E$146)*Assumptions!$E$137</x:f>
        <x:v>8583.853270349473</x:v>
      </x:c>
      <x:c r="G117" s="972" t="n">
        <x:f>F117*$L$90</x:f>
        <x:v>133902057.18902911</x:v>
      </x:c>
      <x:c r="H117" s="972" t="n">
        <x:f>F117*$L$91</x:f>
        <x:v>42734471.737378865</x:v>
      </x:c>
      <x:c r="I117" s="972" t="n">
        <x:f>MAX(0,F117/Assumptions!$E$137)*Assumptions!$E$148*Assumptions!$E$149*Assumptions!$E$48/(1+B117)^2</x:f>
        <x:v>1602843.3811791833</x:v>
      </x:c>
      <x:c r="J117" s="976" t="n">
        <x:f>MAX(0,(C117-D117)/G117)*1%</x:f>
        <x:v>0.0851002355478312</x:v>
      </x:c>
      <x:c r="K117" s="976" t="n">
        <x:f>MAX(0,(C117-'Delivery Scenarios'!$K$23-E117-I117)/H117)*1%</x:f>
        <x:v>0.3174347047868822</x:v>
      </x:c>
      <x:c r="L117" s="976" t="n">
        <x:f>MAX(0,(C117-D117-='Justice Sensitivity'!$G$7*'Delivery Scenarios'!$I$23)/G117)*1%</x:f>
        <x:v>0.08487881178485909</x:v>
      </x:c>
      <x:c r="M117" s="976" t="n">
        <x:f>MAX(0,(C117-'Delivery Scenarios'!$K$23-E117-I117)/H117)*1%</x:f>
        <x:v>0.3174347047868822</x:v>
      </x:c>
      <x:c r="N117" s="972" t="n">
        <x:f>'Delivery Scenarios'!$K$23</x:f>
        <x:v>0</x:v>
      </x:c>
      <x:c r="O117" s="973" t="n">
        <x:f>(D117+G117*5)/C117</x:f>
        <x:v>0.6920334476956341</x:v>
      </x:c>
      <x:c r="P117" s="911" t="str">
        <x:v>Social return may cross 1.0x before Crown fiscal coverage reaches 1.0x.</x:v>
      </x:c>
      <x:c r="Q117" s="26"/>
      <x:c r="R117" s="26"/>
      <x:c r="S117" s="26"/>
      <x:c r="U117" s="1196"/>
      <x:c r="V117" s="1196"/>
      <x:c r="W117" s="1196"/>
      <x:c r="X117" s="1196"/>
    </x:row>
    <x:row r="118">
      <x:c r="A118" s="26" t="str">
        <x:v>Mature national design</x:v>
      </x:c>
      <x:c r="B118" s="185" t="n">
        <x:v>0.08</x:v>
      </x:c>
      <x:c r="C118" s="968" t="n">
        <x:f>'Delivery Scenarios'!$G$23</x:f>
        <x:v>1526137729.0833335</x:v>
      </x:c>
      <x:c r="D118" s="968" t="n">
        <x:f>'Benefits &amp; BCR'!$C$24*'Delivery Scenarios'!$I$23+'Cohort Bridge'!$D$30*1.0</x:f>
        <x:v>386628068.3707794</x:v>
      </x:c>
      <x:c r="E118" s="968" t="n">
        <x:f>'Benefits &amp; BCR'!$C$25*'Delivery Scenarios'!$I$23+'Cohort Bridge'!$D$30*1.0</x:f>
        <x:v>167994443.6843325</x:v>
      </x:c>
      <x:c r="F118" s="968" t="n">
        <x:f>('Delivery Scenarios'!$C$23-'Benefits &amp; BCR'!$C$18*'Delivery Scenarios'!$I$23)*'Delivery Scenarios'!$J$23*Assumptions!$E$141*Assumptions!$E$142*Assumptions!$E$143*(1-Assumptions!$E$144)*(1-Assumptions!$E$145)*(1-Assumptions!$E$146)*Assumptions!$E$137</x:f>
        <x:v>8583.853270349473</x:v>
      </x:c>
      <x:c r="G118" s="968" t="n">
        <x:f>F118*$M$90</x:f>
        <x:v>73726047.05440368</x:v>
      </x:c>
      <x:c r="H118" s="968" t="n">
        <x:f>F118*$M$91</x:f>
        <x:v>22415358.796641205</x:v>
      </x:c>
      <x:c r="I118" s="968" t="n">
        <x:f>MAX(0,F118/Assumptions!$E$137)*Assumptions!$E$148*Assumptions!$E$149*Assumptions!$E$48/(1+B118)^2</x:f>
        <x:v>1486312.929598255</x:v>
      </x:c>
      <x:c r="J118" s="974" t="n">
        <x:f>MAX(0,(C118-D118)/G118)*1%</x:f>
        <x:v>0.15455998337625385</x:v>
      </x:c>
      <x:c r="K118" s="974" t="n">
        <x:f>MAX(0,(C118-'Delivery Scenarios'!$K$23-E118-I118)/H118)*1%</x:f>
        <x:v>0.6052354480592517</x:v>
      </x:c>
      <x:c r="L118" s="974" t="n">
        <x:f>MAX(0,(C118-D118-='Justice Sensitivity'!$G$7*'Delivery Scenarios'!$I$23)/G118)*1%</x:f>
        <x:v>0.1541578311036571</x:v>
      </x:c>
      <x:c r="M118" s="974" t="n">
        <x:f>MAX(0,(C118-'Delivery Scenarios'!$K$23-E118-I118)/H118)*1%</x:f>
        <x:v>0.6052354480592517</x:v>
      </x:c>
      <x:c r="N118" s="968" t="n">
        <x:f>'Delivery Scenarios'!$K$23</x:f>
        <x:v>0</x:v>
      </x:c>
      <x:c r="O118" s="969" t="n">
        <x:f>(D118+G118*5)/C118</x:f>
        <x:v>0.49488213891182653</x:v>
      </x:c>
      <x:c r="P118" s="26" t="str">
        <x:v>Social return may cross 1.0x before Crown fiscal coverage reaches 1.0x.</x:v>
      </x:c>
      <x:c r="Q118" s="26"/>
      <x:c r="R118" s="26"/>
      <x:c r="S118" s="26"/>
      <x:c r="U118" s="1196"/>
      <x:c r="V118" s="1196"/>
      <x:c r="W118" s="1196"/>
      <x:c r="X118" s="1196"/>
    </x:row>
    <x:row r="119">
      <x:c r="A119" s="26"/>
      <x:c r="B119" s="26"/>
      <x:c r="C119" s="26"/>
      <x:c r="D119" s="26"/>
      <x:c r="E119" s="26"/>
      <x:c r="F119" s="26"/>
      <x:c r="G119" s="26"/>
      <x:c r="H119" s="26"/>
      <x:c r="I119" s="26"/>
      <x:c r="J119" s="26"/>
      <x:c r="K119" s="26"/>
      <x:c r="L119" s="26"/>
      <x:c r="M119" s="26"/>
      <x:c r="N119" s="26"/>
      <x:c r="O119" s="26"/>
      <x:c r="P119" s="26"/>
      <x:c r="Q119" s="26"/>
      <x:c r="R119" s="26"/>
      <x:c r="S119" s="26"/>
      <x:c r="U119" s="1196"/>
      <x:c r="V119" s="1196"/>
      <x:c r="W119" s="1196"/>
      <x:c r="X119" s="1196"/>
    </x:row>
    <x:row r="120">
      <x:c r="A120" s="26"/>
      <x:c r="B120" s="26"/>
      <x:c r="C120" s="26"/>
      <x:c r="D120" s="26"/>
      <x:c r="E120" s="26"/>
      <x:c r="F120" s="26"/>
      <x:c r="G120" s="26"/>
      <x:c r="H120" s="26"/>
      <x:c r="I120" s="26"/>
      <x:c r="J120" s="26"/>
      <x:c r="K120" s="26"/>
      <x:c r="L120" s="26"/>
      <x:c r="M120" s="26"/>
      <x:c r="N120" s="26"/>
      <x:c r="O120" s="26"/>
      <x:c r="P120" s="26"/>
      <x:c r="Q120" s="26"/>
      <x:c r="R120" s="26"/>
      <x:c r="S120" s="26"/>
      <x:c r="U120" s="1196"/>
      <x:c r="V120" s="1196"/>
      <x:c r="W120" s="1196"/>
      <x:c r="X120" s="1196"/>
    </x:row>
    <x:row r="121" ht="23" customHeight="1">
      <x:c r="A121" s="905" t="str">
        <x:v>Formal overlap matrix and selected treatment</x:v>
      </x:c>
      <x:c r="B121" s="905"/>
      <x:c r="C121" s="905"/>
      <x:c r="D121" s="905"/>
      <x:c r="E121" s="905"/>
      <x:c r="F121" s="905"/>
      <x:c r="G121" s="905"/>
      <x:c r="H121" s="905"/>
      <x:c r="I121" s="905"/>
      <x:c r="J121" s="905"/>
      <x:c r="K121" s="905"/>
      <x:c r="L121" s="905"/>
      <x:c r="M121" s="905"/>
      <x:c r="N121" s="905"/>
      <x:c r="O121" s="905"/>
      <x:c r="P121" s="905"/>
      <x:c r="Q121" s="905"/>
      <x:c r="R121" s="905"/>
      <x:c r="S121" s="905"/>
      <x:c r="U121" s="1196"/>
      <x:c r="V121" s="1196"/>
      <x:c r="W121" s="1196"/>
      <x:c r="X121" s="1196"/>
    </x:row>
    <x:row r="122" ht="30" customHeight="1">
      <x:c r="A122" s="909" t="str">
        <x:v>Benefit / mechanism</x:v>
      </x:c>
      <x:c r="B122" s="909" t="str">
        <x:v>Potential overlap</x:v>
      </x:c>
      <x:c r="C122" s="909" t="str">
        <x:v>Selected central treatment</x:v>
      </x:c>
      <x:c r="D122" s="909" t="str">
        <x:v>Social BCR</x:v>
      </x:c>
      <x:c r="E122" s="909" t="str">
        <x:v>Crown view</x:v>
      </x:c>
      <x:c r="F122" s="909" t="str">
        <x:v>Additive?</x:v>
      </x:c>
      <x:c r="G122" s="909" t="str">
        <x:v>Evidence gate</x:v>
      </x:c>
      <x:c r="H122" s="909" t="str">
        <x:v>Reason</x:v>
      </x:c>
      <x:c r="I122" s="26"/>
      <x:c r="J122" s="26"/>
      <x:c r="K122" s="26"/>
      <x:c r="L122" s="26"/>
      <x:c r="M122" s="26"/>
      <x:c r="N122" s="26"/>
      <x:c r="O122" s="26"/>
      <x:c r="P122" s="26"/>
      <x:c r="Q122" s="26"/>
      <x:c r="R122" s="26"/>
      <x:c r="S122" s="26"/>
      <x:c r="U122" s="1196"/>
      <x:c r="V122" s="1196"/>
      <x:c r="W122" s="1196"/>
      <x:c r="X122" s="1196"/>
    </x:row>
    <x:row r="123">
      <x:c r="A123" s="26" t="str">
        <x:v>Attendance improvement</x:v>
      </x:c>
      <x:c r="B123" s="26" t="str">
        <x:v>Qualification and employment outcomes</x:v>
      </x:c>
      <x:c r="C123" s="26" t="str">
        <x:v>Mechanism indicator only</x:v>
      </x:c>
      <x:c r="D123" s="26" t="str">
        <x:v>No separate value</x:v>
      </x:c>
      <x:c r="E123" s="26" t="str">
        <x:v>No separate value</x:v>
      </x:c>
      <x:c r="F123" s="26" t="str">
        <x:v>No</x:v>
      </x:c>
      <x:c r="G123" s="26" t="str">
        <x:v>Pilot causal estimate</x:v>
      </x:c>
      <x:c r="H123" s="26" t="str">
        <x:v>Avoids valuing the same pathway repeatedly.</x:v>
      </x:c>
      <x:c r="I123" s="26"/>
      <x:c r="J123" s="26"/>
      <x:c r="K123" s="26"/>
      <x:c r="L123" s="26"/>
      <x:c r="M123" s="26"/>
      <x:c r="N123" s="26"/>
      <x:c r="O123" s="26"/>
      <x:c r="P123" s="26"/>
      <x:c r="Q123" s="26"/>
      <x:c r="R123" s="26"/>
      <x:c r="S123" s="26"/>
      <x:c r="U123" s="1196"/>
      <x:c r="V123" s="1196"/>
      <x:c r="W123" s="1196"/>
      <x:c r="X123" s="1196"/>
    </x:row>
    <x:row r="124">
      <x:c r="A124" s="26" t="str">
        <x:v>Qualification attainment</x:v>
      </x:c>
      <x:c r="B124" s="26" t="str">
        <x:v>Qualification premium and whole-cohort earnings</x:v>
      </x:c>
      <x:c r="C124" s="26" t="str">
        <x:v>Mechanism indicator only</x:v>
      </x:c>
      <x:c r="D124" s="26" t="str">
        <x:v>No separate value</x:v>
      </x:c>
      <x:c r="E124" s="26" t="str">
        <x:v>No separate value</x:v>
      </x:c>
      <x:c r="F124" s="26" t="str">
        <x:v>No</x:v>
      </x:c>
      <x:c r="G124" s="26" t="str">
        <x:v>Pilot causal estimate</x:v>
      </x:c>
      <x:c r="H124" s="26" t="str">
        <x:v>Observed premiums provide context, not an additive benefit.</x:v>
      </x:c>
      <x:c r="I124" s="26"/>
      <x:c r="J124" s="26"/>
      <x:c r="K124" s="26"/>
      <x:c r="L124" s="26"/>
      <x:c r="M124" s="26"/>
      <x:c r="N124" s="26"/>
      <x:c r="O124" s="26"/>
      <x:c r="P124" s="26"/>
      <x:c r="Q124" s="26"/>
      <x:c r="R124" s="26"/>
      <x:c r="S124" s="26"/>
      <x:c r="U124" s="1196"/>
      <x:c r="V124" s="1196"/>
      <x:c r="W124" s="1196"/>
      <x:c r="X124" s="1196"/>
    </x:row>
    <x:row r="125">
      <x:c r="A125" s="26" t="str">
        <x:v>Whole-cohort earnings uplift</x:v>
      </x:c>
      <x:c r="B125" s="26" t="str">
        <x:v>Pacheco productivity loss avoided</x:v>
      </x:c>
      <x:c r="C125" s="26" t="str">
        <x:v>Excludes modelled averted sustained-NEET cases</x:v>
      </x:c>
      <x:c r="D125" s="26" t="str">
        <x:v>Yes</x:v>
      </x:c>
      <x:c r="E125" s="26" t="str">
        <x:v>Tax only</x:v>
      </x:c>
      <x:c r="F125" s="26" t="str">
        <x:v>Yes after exclusion</x:v>
      </x:c>
      <x:c r="G125" s="26" t="str">
        <x:v>Pilot earnings evidence</x:v>
      </x:c>
      <x:c r="H125" s="26" t="str">
        <x:v>Selected non-overlap method.</x:v>
      </x:c>
      <x:c r="I125" s="26"/>
      <x:c r="J125" s="26"/>
      <x:c r="K125" s="26"/>
      <x:c r="L125" s="26"/>
      <x:c r="M125" s="26"/>
      <x:c r="N125" s="26"/>
      <x:c r="O125" s="26"/>
      <x:c r="P125" s="26"/>
      <x:c r="Q125" s="26"/>
      <x:c r="R125" s="26"/>
      <x:c r="S125" s="26"/>
      <x:c r="U125" s="1196"/>
      <x:c r="V125" s="1196"/>
      <x:c r="W125" s="1196"/>
      <x:c r="X125" s="1196"/>
    </x:row>
    <x:row r="126">
      <x:c r="A126" s="26" t="str">
        <x:v>NEET productivity benefit</x:v>
      </x:c>
      <x:c r="B126" s="26" t="str">
        <x:v>Whole-cohort earnings</x:v>
      </x:c>
      <x:c r="C126" s="26" t="str">
        <x:v>Pacheco stream retained for averted sustained-NEET cases</x:v>
      </x:c>
      <x:c r="D126" s="26" t="str">
        <x:v>Yes</x:v>
      </x:c>
      <x:c r="E126" s="26" t="str">
        <x:v>No</x:v>
      </x:c>
      <x:c r="F126" s="26" t="str">
        <x:v>Yes after exclusion</x:v>
      </x:c>
      <x:c r="G126" s="26" t="str">
        <x:v>S02 and pilot</x:v>
      </x:c>
      <x:c r="H126" s="26" t="str">
        <x:v>High-risk outcome family.</x:v>
      </x:c>
      <x:c r="I126" s="26"/>
      <x:c r="J126" s="26"/>
      <x:c r="K126" s="26"/>
      <x:c r="L126" s="26"/>
      <x:c r="M126" s="26"/>
      <x:c r="N126" s="26"/>
      <x:c r="O126" s="26"/>
      <x:c r="P126" s="26"/>
      <x:c r="Q126" s="26"/>
      <x:c r="R126" s="26"/>
      <x:c r="S126" s="26"/>
      <x:c r="U126" s="1196"/>
      <x:c r="V126" s="1196"/>
      <x:c r="W126" s="1196"/>
      <x:c r="X126" s="1196"/>
    </x:row>
    <x:row r="127">
      <x:c r="A127" s="26" t="str">
        <x:v>Income tax and ACC</x:v>
      </x:c>
      <x:c r="B127" s="26" t="str">
        <x:v>Gross earnings</x:v>
      </x:c>
      <x:c r="C127" s="26" t="str">
        <x:v>Crown fiscal view only</x:v>
      </x:c>
      <x:c r="D127" s="26" t="str">
        <x:v>No — transfer</x:v>
      </x:c>
      <x:c r="E127" s="26" t="str">
        <x:v>Yes</x:v>
      </x:c>
      <x:c r="F127" s="26" t="str">
        <x:v>Yes in Crown view</x:v>
      </x:c>
      <x:c r="G127" s="26" t="str">
        <x:v>IRD rates</x:v>
      </x:c>
      <x:c r="H127" s="26" t="str">
        <x:v>Do not treat gross earnings as Crown saving.</x:v>
      </x:c>
      <x:c r="I127" s="26"/>
      <x:c r="J127" s="26"/>
      <x:c r="K127" s="26"/>
      <x:c r="L127" s="26"/>
      <x:c r="M127" s="26"/>
      <x:c r="N127" s="26"/>
      <x:c r="O127" s="26"/>
      <x:c r="P127" s="26"/>
      <x:c r="Q127" s="26"/>
      <x:c r="R127" s="26"/>
      <x:c r="S127" s="26"/>
      <x:c r="U127" s="1196"/>
      <x:c r="V127" s="1196"/>
      <x:c r="W127" s="1196"/>
      <x:c r="X127" s="1196"/>
    </x:row>
    <x:row r="128">
      <x:c r="A128" s="26" t="str">
        <x:v>Benefit savings</x:v>
      </x:c>
      <x:c r="B128" s="26" t="str">
        <x:v>NEET public-finance value</x:v>
      </x:c>
      <x:c r="C128" s="26" t="str">
        <x:v>Broad non-NEET population only</x:v>
      </x:c>
      <x:c r="D128" s="26" t="str">
        <x:v>No — transfer</x:v>
      </x:c>
      <x:c r="E128" s="26" t="str">
        <x:v>Yes</x:v>
      </x:c>
      <x:c r="F128" s="26" t="str">
        <x:v>Limited</x:v>
      </x:c>
      <x:c r="G128" s="26" t="str">
        <x:v>Linked benefit data</x:v>
      </x:c>
      <x:c r="H128" s="26" t="str">
        <x:v>Excludes modelled averted NEET cases.</x:v>
      </x:c>
      <x:c r="I128" s="26"/>
      <x:c r="J128" s="26"/>
      <x:c r="K128" s="26"/>
      <x:c r="L128" s="26"/>
      <x:c r="M128" s="26"/>
      <x:c r="N128" s="26"/>
      <x:c r="O128" s="26"/>
      <x:c r="P128" s="26"/>
      <x:c r="Q128" s="26"/>
      <x:c r="R128" s="26"/>
      <x:c r="S128" s="26"/>
      <x:c r="U128" s="1196"/>
      <x:c r="V128" s="1196"/>
      <x:c r="W128" s="1196"/>
      <x:c r="X128" s="1196"/>
    </x:row>
    <x:row r="129">
      <x:c r="A129" s="26" t="str">
        <x:v>Learning Capital account value</x:v>
      </x:c>
      <x:c r="B129" s="26" t="str">
        <x:v>Education costs and student debt avoided</x:v>
      </x:c>
      <x:c r="C129" s="26" t="str">
        <x:v>Student outcome only</x:v>
      </x:c>
      <x:c r="D129" s="26" t="str">
        <x:v>No separate principal value</x:v>
      </x:c>
      <x:c r="E129" s="26" t="str">
        <x:v>No</x:v>
      </x:c>
      <x:c r="F129" s="26" t="str">
        <x:v>No</x:v>
      </x:c>
      <x:c r="G129" s="26" t="str">
        <x:v>Provider statements</x:v>
      </x:c>
      <x:c r="H129" s="26" t="str">
        <x:v>Same protected resource.</x:v>
      </x:c>
      <x:c r="I129" s="26"/>
      <x:c r="J129" s="26"/>
      <x:c r="K129" s="26"/>
      <x:c r="L129" s="26"/>
      <x:c r="M129" s="26"/>
      <x:c r="N129" s="26"/>
      <x:c r="O129" s="26"/>
      <x:c r="P129" s="26"/>
      <x:c r="Q129" s="26"/>
      <x:c r="R129" s="26"/>
      <x:c r="S129" s="26"/>
      <x:c r="U129" s="1196"/>
      <x:c r="V129" s="1196"/>
      <x:c r="W129" s="1196"/>
      <x:c r="X129" s="1196"/>
    </x:row>
    <x:row r="130">
      <x:c r="A130" s="26" t="str">
        <x:v>Student debt avoided</x:v>
      </x:c>
      <x:c r="B130" s="26" t="str">
        <x:v>Crown lending and fair-value cost</x:v>
      </x:c>
      <x:c r="C130" s="26" t="str">
        <x:v>Student outcome only</x:v>
      </x:c>
      <x:c r="D130" s="26" t="str">
        <x:v>No separate value</x:v>
      </x:c>
      <x:c r="E130" s="26" t="str">
        <x:v>No</x:v>
      </x:c>
      <x:c r="F130" s="26" t="str">
        <x:v>No</x:v>
      </x:c>
      <x:c r="G130" s="26" t="str">
        <x:v>Counterfactual borrowing</x:v>
      </x:c>
      <x:c r="H130" s="26" t="str">
        <x:v>Same financial resource from another perspective.</x:v>
      </x:c>
      <x:c r="I130" s="26"/>
      <x:c r="J130" s="26"/>
      <x:c r="K130" s="26"/>
      <x:c r="L130" s="26"/>
      <x:c r="M130" s="26"/>
      <x:c r="N130" s="26"/>
      <x:c r="O130" s="26"/>
      <x:c r="P130" s="26"/>
      <x:c r="Q130" s="26"/>
      <x:c r="R130" s="26"/>
      <x:c r="S130" s="26"/>
      <x:c r="U130" s="1196"/>
      <x:c r="V130" s="1196"/>
      <x:c r="W130" s="1196"/>
      <x:c r="X130" s="1196"/>
    </x:row>
    <x:row r="131">
      <x:c r="A131" s="26" t="str">
        <x:v>Gross Crown lending avoided</x:v>
      </x:c>
      <x:c r="B131" s="26" t="str">
        <x:v>Fair-value subsidy avoided</x:v>
      </x:c>
      <x:c r="C131" s="26" t="str">
        <x:v>Cash-flow disclosure only</x:v>
      </x:c>
      <x:c r="D131" s="26" t="str">
        <x:v>No</x:v>
      </x:c>
      <x:c r="E131" s="26" t="str">
        <x:v>Not net saving</x:v>
      </x:c>
      <x:c r="F131" s="26" t="str">
        <x:v>No</x:v>
      </x:c>
      <x:c r="G131" s="26" t="str">
        <x:v>Official actuarial method</x:v>
      </x:c>
      <x:c r="H131" s="26" t="str">
        <x:v>Repayments are also forgone.</x:v>
      </x:c>
      <x:c r="I131" s="26"/>
      <x:c r="J131" s="26"/>
      <x:c r="K131" s="26"/>
      <x:c r="L131" s="26"/>
      <x:c r="M131" s="26"/>
      <x:c r="N131" s="26"/>
      <x:c r="O131" s="26"/>
      <x:c r="P131" s="26"/>
      <x:c r="Q131" s="26"/>
      <x:c r="R131" s="26"/>
      <x:c r="S131" s="26"/>
      <x:c r="U131" s="1196"/>
      <x:c r="V131" s="1196"/>
      <x:c r="W131" s="1196"/>
      <x:c r="X131" s="1196"/>
    </x:row>
    <x:row r="132">
      <x:c r="A132" s="26" t="str">
        <x:v>Student-loan fair-value cost avoided</x:v>
      </x:c>
      <x:c r="B132" s="26" t="str">
        <x:v>Inflation and cost of capital views</x:v>
      </x:c>
      <x:c r="C132" s="26" t="str">
        <x:v>Central Crown student-loan offset</x:v>
      </x:c>
      <x:c r="D132" s="26" t="str">
        <x:v>Potential fiscal efficiency</x:v>
      </x:c>
      <x:c r="E132" s="26" t="str">
        <x:v>Yes</x:v>
      </x:c>
      <x:c r="F132" s="26" t="str">
        <x:v>Yes once</x:v>
      </x:c>
      <x:c r="G132" s="26" t="str">
        <x:v>Official actuarial method</x:v>
      </x:c>
      <x:c r="H132" s="26" t="str">
        <x:v>Inflation and carrying-cost views are non-additive.</x:v>
      </x:c>
      <x:c r="I132" s="26"/>
      <x:c r="J132" s="26"/>
      <x:c r="K132" s="26"/>
      <x:c r="L132" s="26"/>
      <x:c r="M132" s="26"/>
      <x:c r="N132" s="26"/>
      <x:c r="O132" s="26"/>
      <x:c r="P132" s="26"/>
      <x:c r="Q132" s="26"/>
      <x:c r="R132" s="26"/>
      <x:c r="S132" s="26"/>
      <x:c r="U132" s="1196"/>
      <x:c r="V132" s="1196"/>
      <x:c r="W132" s="1196"/>
      <x:c r="X132" s="1196"/>
    </x:row>
    <x:row r="133">
      <x:c r="A133" s="26" t="str">
        <x:v>Investment earnings</x:v>
      </x:c>
      <x:c r="B133" s="26" t="str">
        <x:v>Account balance and public opportunity cost</x:v>
      </x:c>
      <x:c r="C133" s="26" t="str">
        <x:v>Student outcome; excluded as free social benefit</x:v>
      </x:c>
      <x:c r="D133" s="26" t="str">
        <x:v>No</x:v>
      </x:c>
      <x:c r="E133" s="26" t="str">
        <x:v>No</x:v>
      </x:c>
      <x:c r="F133" s="26" t="str">
        <x:v>No</x:v>
      </x:c>
      <x:c r="G133" s="26" t="str">
        <x:v>Investment mandate</x:v>
      </x:c>
      <x:c r="H133" s="26" t="str">
        <x:v>Public capital is committed to generate the return.</x:v>
      </x:c>
      <x:c r="I133" s="26"/>
      <x:c r="J133" s="26"/>
      <x:c r="K133" s="26"/>
      <x:c r="L133" s="26"/>
      <x:c r="M133" s="26"/>
      <x:c r="N133" s="26"/>
      <x:c r="O133" s="26"/>
      <x:c r="P133" s="26"/>
      <x:c r="Q133" s="26"/>
      <x:c r="R133" s="26"/>
      <x:c r="S133" s="26"/>
      <x:c r="U133" s="1196"/>
      <x:c r="V133" s="1196"/>
      <x:c r="W133" s="1196"/>
      <x:c r="X133" s="1196"/>
    </x:row>
    <x:row r="134">
      <x:c r="A134" s="26" t="str">
        <x:v>Justice resource value</x:v>
      </x:c>
      <x:c r="B134" s="26" t="str">
        <x:v>Victim harm and Corrections costs</x:v>
      </x:c>
      <x:c r="C134" s="26" t="str">
        <x:v>Separate sensitivity only</x:v>
      </x:c>
      <x:c r="D134" s="26" t="str">
        <x:v>Illustrative</x:v>
      </x:c>
      <x:c r="E134" s="26" t="str">
        <x:v>Cashable value zero</x:v>
      </x:c>
      <x:c r="F134" s="26" t="str">
        <x:v>No headline</x:v>
      </x:c>
      <x:c r="G134" s="26" t="str">
        <x:v>Causal justice evidence</x:v>
      </x:c>
      <x:c r="H134" s="26" t="str">
        <x:v>Avoids claiming average resource cost as cash saving.</x:v>
      </x:c>
      <x:c r="I134" s="26"/>
      <x:c r="J134" s="26"/>
      <x:c r="K134" s="26"/>
      <x:c r="L134" s="26"/>
      <x:c r="M134" s="26"/>
      <x:c r="N134" s="26"/>
      <x:c r="O134" s="26"/>
      <x:c r="P134" s="26"/>
      <x:c r="Q134" s="26"/>
      <x:c r="R134" s="26"/>
      <x:c r="S134" s="26"/>
      <x:c r="U134" s="1196"/>
      <x:c r="V134" s="1196"/>
      <x:c r="W134" s="1196"/>
      <x:c r="X134" s="1196"/>
    </x:row>
    <x:row r="135">
      <x:c r="A135" s="26" t="str">
        <x:v>Committed industry funding</x:v>
      </x:c>
      <x:c r="B135" s="26" t="str">
        <x:v>Programme cost</x:v>
      </x:c>
      <x:c r="C135" s="26" t="str">
        <x:v>Crown cost reduction only when signed</x:v>
      </x:c>
      <x:c r="D135" s="26" t="str">
        <x:v>No social-cost reduction</x:v>
      </x:c>
      <x:c r="E135" s="26" t="str">
        <x:v>Yes</x:v>
      </x:c>
      <x:c r="F135" s="26" t="str">
        <x:v>Yes in Crown denominator</x:v>
      </x:c>
      <x:c r="G135" s="26" t="str">
        <x:v>Signed agreement</x:v>
      </x:c>
      <x:c r="H135" s="26" t="str">
        <x:v>Industry funding is not free or guaranteed.</x:v>
      </x:c>
      <x:c r="I135" s="26"/>
      <x:c r="J135" s="26"/>
      <x:c r="K135" s="26"/>
      <x:c r="L135" s="26"/>
      <x:c r="M135" s="26"/>
      <x:c r="N135" s="26"/>
      <x:c r="O135" s="26"/>
      <x:c r="P135" s="26"/>
      <x:c r="Q135" s="26"/>
      <x:c r="R135" s="26"/>
      <x:c r="S135" s="26"/>
      <x:c r="U135" s="1196"/>
      <x:c r="V135" s="1196"/>
      <x:c r="W135" s="1196"/>
      <x:c r="X135" s="1196"/>
    </x:row>
    <x:row r="136">
      <x:c r="U136" s="1196"/>
      <x:c r="V136" s="1196"/>
      <x:c r="W136" s="1196"/>
      <x:c r="X136" s="1196"/>
    </x:row>
    <x:row r="137">
      <x:c r="A137" s="1062" t="str">
        <x:v>Earnings-uplift interpretation bridge</x:v>
      </x:c>
      <x:c r="B137" s="1062"/>
      <x:c r="C137" s="1062"/>
      <x:c r="D137" s="1062"/>
      <x:c r="E137" s="1062"/>
      <x:c r="F137" s="1062"/>
      <x:c r="G137" s="1062"/>
      <x:c r="H137" s="1062"/>
      <x:c r="I137" s="1062"/>
      <x:c r="U137" s="1196"/>
      <x:c r="V137" s="1196"/>
      <x:c r="W137" s="1196"/>
      <x:c r="X137" s="1196"/>
    </x:row>
    <x:row r="138">
      <x:c r="A138" s="1065" t="str">
        <x:v>Measure</x:v>
      </x:c>
      <x:c r="B138" s="1065" t="str">
        <x:v>0.25% affected-population uplift</x:v>
      </x:c>
      <x:c r="C138" s="1065" t="str">
        <x:v>0.5% affected-population uplift</x:v>
      </x:c>
      <x:c r="D138" s="1065" t="str">
        <x:v>1.0% affected-population uplift</x:v>
      </x:c>
      <x:c r="E138" s="1065" t="str">
        <x:v>3.0% affected-population uplift</x:v>
      </x:c>
      <x:c r="F138" s="1065" t="str">
        <x:v>5.0% affected-population uplift</x:v>
      </x:c>
      <x:c r="G138" s="1065" t="str">
        <x:v>Unit</x:v>
      </x:c>
      <x:c r="H138" s="1065" t="str">
        <x:v>Meaning</x:v>
      </x:c>
      <x:c r="I138" s="1065" t="str">
        <x:v>Decision warning</x:v>
      </x:c>
      <x:c r="U138" s="1196"/>
      <x:c r="V138" s="1196"/>
      <x:c r="W138" s="1196"/>
      <x:c r="X138" s="1196"/>
    </x:row>
    <x:row r="139">
      <x:c r="A139" s="26" t="str">
        <x:v>Affected-population earnings uplift</x:v>
      </x:c>
      <x:c r="B139" s="1068" t="n">
        <x:v>0.0025</x:v>
      </x:c>
      <x:c r="C139" s="1068" t="n">
        <x:v>0.005</x:v>
      </x:c>
      <x:c r="D139" s="1068" t="n">
        <x:v>0.01</x:v>
      </x:c>
      <x:c r="E139" s="1068" t="n">
        <x:v>0.03</x:v>
      </x:c>
      <x:c r="F139" s="1068" t="n">
        <x:v>0.05</x:v>
      </x:c>
      <x:c r="G139" s="26" t="str">
        <x:v>%</x:v>
      </x:c>
      <x:c r="H139" s="26" t="str">
        <x:v>Applied only to the effective affected employed population.</x:v>
      </x:c>
      <x:c r="I139" s="26" t="str">
        <x:v>Not a uniform uplift for all students.</x:v>
      </x:c>
      <x:c r="U139" s="1196"/>
      <x:c r="V139" s="1196"/>
      <x:c r="W139" s="1196"/>
      <x:c r="X139" s="1196"/>
    </x:row>
    <x:row r="140">
      <x:c r="A140" s="26" t="str">
        <x:v>Value-weighted equivalent average uplift — broad non-overlap cohort</x:v>
      </x:c>
      <x:c r="B140" s="1068" t="n">
        <x:f>B139*$B$41/($B$31*$B$40)</x:f>
        <x:v>0.0004142475</x:v>
      </x:c>
      <x:c r="C140" s="1068" t="n">
        <x:f>C139*$B$41/($B$31*$B$40)</x:f>
        <x:v>0.000828495</x:v>
      </x:c>
      <x:c r="D140" s="1068" t="n">
        <x:f>D139*$B$41/($B$31*$B$40)</x:f>
        <x:v>0.00165699</x:v>
      </x:c>
      <x:c r="E140" s="1068" t="n">
        <x:f>E139*$B$41/($B$31*$B$40)</x:f>
        <x:v>0.004970969999999999</x:v>
      </x:c>
      <x:c r="F140" s="1068" t="n">
        <x:f>F139*$B$41/($B$31*$B$40)</x:f>
        <x:v>0.00828495</x:v>
      </x:c>
      <x:c r="G140" s="26" t="str">
        <x:v>%</x:v>
      </x:c>
      <x:c r="H140" s="26" t="str">
        <x:v>Same modelled lifetime earnings value spread across the broad non-overlap cohort.</x:v>
      </x:c>
      <x:c r="I140" s="26" t="str">
        <x:v>Use for broad-cohort communication.</x:v>
      </x:c>
      <x:c r="U140" s="1196"/>
      <x:c r="V140" s="1196"/>
      <x:c r="W140" s="1196"/>
      <x:c r="X140" s="1196"/>
    </x:row>
    <x:row r="141">
      <x:c r="A141" s="26" t="str">
        <x:v>Value-weighted equivalent average uplift — full eligible cohort</x:v>
      </x:c>
      <x:c r="B141" s="1068" t="n">
        <x:f>B139*$B$41/($B$29*$B$40)</x:f>
        <x:v>0.00040492693124999997</x:v>
      </x:c>
      <x:c r="C141" s="1068" t="n">
        <x:f>C139*$B$41/($B$29*$B$40)</x:f>
        <x:v>0.0008098538624999999</x:v>
      </x:c>
      <x:c r="D141" s="1068" t="n">
        <x:f>D139*$B$41/($B$29*$B$40)</x:f>
        <x:v>0.0016197077249999999</x:v>
      </x:c>
      <x:c r="E141" s="1068" t="n">
        <x:f>E139*$B$41/($B$29*$B$40)</x:f>
        <x:v>0.004859123174999999</x:v>
      </x:c>
      <x:c r="F141" s="1068" t="n">
        <x:f>F139*$B$41/($B$29*$B$40)</x:f>
        <x:v>0.008098538624999999</x:v>
      </x:c>
      <x:c r="G141" s="26" t="str">
        <x:v>%</x:v>
      </x:c>
      <x:c r="H141" s="26" t="str">
        <x:v>Same modelled lifetime earnings value spread across the full annual eligible cohort.</x:v>
      </x:c>
      <x:c r="I141" s="26" t="str">
        <x:v>Use for public whole-cohort communication.</x:v>
      </x:c>
      <x:c r="U141" s="1196"/>
      <x:c r="V141" s="1196"/>
      <x:c r="W141" s="1196"/>
      <x:c r="X141" s="1196"/>
    </x:row>
    <x:row r="142">
      <x:c r="A142" s="26" t="str">
        <x:v>Simple headcount-weighted equivalent — full eligible cohort</x:v>
      </x:c>
      <x:c r="B142" s="1068" t="n">
        <x:f>B139*$B$41/$B$29</x:f>
        <x:v>0.00034418789156249996</x:v>
      </x:c>
      <x:c r="C142" s="1068" t="n">
        <x:f>C139*$B$41/$B$29</x:f>
        <x:v>0.0006883757831249999</x:v>
      </x:c>
      <x:c r="D142" s="1068" t="n">
        <x:f>D139*$B$41/$B$29</x:f>
        <x:v>0.0013767515662499999</x:v>
      </x:c>
      <x:c r="E142" s="1068" t="n">
        <x:f>E139*$B$41/$B$29</x:f>
        <x:v>0.004130254698749999</x:v>
      </x:c>
      <x:c r="F142" s="1068" t="n">
        <x:f>F139*$B$41/$B$29</x:f>
        <x:v>0.006883757831249998</x:v>
      </x:c>
      <x:c r="G142" s="26" t="str">
        <x:v>%</x:v>
      </x:c>
      <x:c r="H142" s="26" t="str">
        <x:v>Affected uplift multiplied by the effective affected employed share of the full cohort.</x:v>
      </x:c>
      <x:c r="I142" s="26" t="str">
        <x:v>Secondary explanatory approximation; not the preferred value-weighted measure.</x:v>
      </x:c>
      <x:c r="U142" s="1196"/>
      <x:c r="V142" s="1196"/>
      <x:c r="W142" s="1196"/>
      <x:c r="X142" s="1196"/>
    </x:row>
    <x:row r="143">
      <x:c r="A143" s="26" t="str">
        <x:v>Annual eligible cohort</x:v>
      </x:c>
      <x:c r="B143" s="1069" t="n">
        <x:f>$B$29</x:f>
        <x:v>62348.6</x:v>
      </x:c>
      <x:c r="C143" s="1069" t="n">
        <x:f>$B$29</x:f>
        <x:v>62348.6</x:v>
      </x:c>
      <x:c r="D143" s="1069" t="n">
        <x:f>$B$29</x:f>
        <x:v>62348.6</x:v>
      </x:c>
      <x:c r="E143" s="1069" t="n">
        <x:f>$B$29</x:f>
        <x:v>62348.6</x:v>
      </x:c>
      <x:c r="F143" s="1069" t="n">
        <x:f>$B$29</x:f>
        <x:v>62348.6</x:v>
      </x:c>
      <x:c r="G143" s="26" t="str">
        <x:v>people</x:v>
      </x:c>
      <x:c r="H143" s="26" t="str">
        <x:v>One entrant/exit cohort.</x:v>
      </x:c>
      <x:c r="I143" s="26"/>
      <x:c r="U143" s="1196"/>
      <x:c r="V143" s="1196"/>
      <x:c r="W143" s="1196"/>
      <x:c r="X143" s="1196"/>
    </x:row>
    <x:row r="144">
      <x:c r="A144" s="26" t="str">
        <x:v>Broad non-overlap cohort</x:v>
      </x:c>
      <x:c r="B144" s="1069" t="n">
        <x:f>$B$31</x:f>
        <x:v>60945.756499999996</x:v>
      </x:c>
      <x:c r="C144" s="1069" t="n">
        <x:f>$B$31</x:f>
        <x:v>60945.756499999996</x:v>
      </x:c>
      <x:c r="D144" s="1069" t="n">
        <x:f>$B$31</x:f>
        <x:v>60945.756499999996</x:v>
      </x:c>
      <x:c r="E144" s="1069" t="n">
        <x:f>$B$31</x:f>
        <x:v>60945.756499999996</x:v>
      </x:c>
      <x:c r="F144" s="1069" t="n">
        <x:f>$B$31</x:f>
        <x:v>60945.756499999996</x:v>
      </x:c>
      <x:c r="G144" s="26" t="str">
        <x:v>people</x:v>
      </x:c>
      <x:c r="H144" s="26" t="str">
        <x:v>Eligible cohort less separately valued sustained-NEET cases.</x:v>
      </x:c>
      <x:c r="I144" s="26"/>
      <x:c r="U144" s="1196"/>
      <x:c r="V144" s="1196"/>
      <x:c r="W144" s="1196"/>
      <x:c r="X144" s="1196"/>
    </x:row>
    <x:row r="145">
      <x:c r="A145" s="26" t="str">
        <x:v>Effective affected employed population</x:v>
      </x:c>
      <x:c r="B145" s="1069" t="n">
        <x:f>$B$41</x:f>
        <x:v>8583.853270349473</x:v>
      </x:c>
      <x:c r="C145" s="1069" t="n">
        <x:f>$B$41</x:f>
        <x:v>8583.853270349473</x:v>
      </x:c>
      <x:c r="D145" s="1069" t="n">
        <x:f>$B$41</x:f>
        <x:v>8583.853270349473</x:v>
      </x:c>
      <x:c r="E145" s="1069" t="n">
        <x:f>$B$41</x:f>
        <x:v>8583.853270349473</x:v>
      </x:c>
      <x:c r="F145" s="1069" t="n">
        <x:f>$B$41</x:f>
        <x:v>8583.853270349473</x:v>
      </x:c>
      <x:c r="G145" s="26" t="str">
        <x:v>people</x:v>
      </x:c>
      <x:c r="H145" s="26" t="str">
        <x:v>Population receiving the modelled affected-population earnings uplift.</x:v>
      </x:c>
      <x:c r="I145" s="26"/>
      <x:c r="U145" s="1196"/>
      <x:c r="V145" s="1196"/>
      <x:c r="W145" s="1196"/>
      <x:c r="X145" s="1196"/>
    </x:row>
    <x:row r="146">
      <x:c r="A146" s="26" t="str">
        <x:v>Population reconciliation check</x:v>
      </x:c>
      <x:c r="B146" s="1069" t="n">
        <x:f>$B$41</x:f>
        <x:v>8583.853270349473</x:v>
      </x:c>
      <x:c r="C146" s="1069" t="n">
        <x:f>$B$41</x:f>
        <x:v>8583.853270349473</x:v>
      </x:c>
      <x:c r="D146" s="1069" t="n">
        <x:f>$B$41</x:f>
        <x:v>8583.853270349473</x:v>
      </x:c>
      <x:c r="E146" s="1069" t="n">
        <x:f>$B$41</x:f>
        <x:v>8583.853270349473</x:v>
      </x:c>
      <x:c r="F146" s="1069" t="n">
        <x:f>$B$41</x:f>
        <x:v>8583.853270349473</x:v>
      </x:c>
      <x:c r="G146" s="26" t="str">
        <x:v>people</x:v>
      </x:c>
      <x:c r="H146" s="26" t="str">
        <x:v>Annual eligible cohort less sustained-NEET cases, then adjusted through each population factor.</x:v>
      </x:c>
      <x:c r="I146" s="26" t="str">
        <x:v>Must reconcile to the effective affected employed population.</x:v>
      </x:c>
      <x:c r="U146" s="1196"/>
      <x:c r="V146" s="1196"/>
      <x:c r="W146" s="1196"/>
      <x:c r="X146" s="1196"/>
    </x:row>
    <x:row r="147">
      <x:c r="A147" s="26" t="str">
        <x:v>Interpretation</x:v>
      </x:c>
      <x:c r="B147" s="26"/>
      <x:c r="C147" s="26"/>
      <x:c r="D147" s="26"/>
      <x:c r="E147" s="26"/>
      <x:c r="F147" s="26"/>
      <x:c r="G147" s="26"/>
      <x:c r="H147" s="26" t="str">
        <x:v>A 5% uplift in the affected population is materially smaller when expressed as a cohort-equivalent average.</x:v>
      </x:c>
      <x:c r="I147" s="26" t="str">
        <x:v>Never present the affected-population percentage as though every student receives it.</x:v>
      </x:c>
      <x:c r="U147" s="1196"/>
      <x:c r="V147" s="1196"/>
      <x:c r="W147" s="1196"/>
      <x:c r="X147" s="1196"/>
    </x:row>
    <x:row r="148">
      <x:c r="U148" s="1196"/>
      <x:c r="V148" s="1196"/>
      <x:c r="W148" s="1196"/>
      <x:c r="X148" s="1196"/>
    </x:row>
    <x:row r="149">
      <x:c r="U149" s="1196"/>
      <x:c r="V149" s="1196"/>
      <x:c r="W149" s="1196"/>
      <x:c r="X149" s="1196"/>
    </x:row>
    <x:row r="150">
      <x:c r="U150" s="1196"/>
      <x:c r="V150" s="1196"/>
      <x:c r="W150" s="1196"/>
      <x:c r="X150" s="1196"/>
    </x:row>
    <x:row r="151">
      <x:c r="U151" s="1196"/>
      <x:c r="V151" s="1196"/>
      <x:c r="W151" s="1196"/>
      <x:c r="X151" s="1196"/>
    </x:row>
    <x:row r="152">
      <x:c r="U152" s="1196"/>
      <x:c r="V152" s="1196"/>
      <x:c r="W152" s="1196"/>
      <x:c r="X152" s="1196"/>
    </x:row>
    <x:row r="153">
      <x:c r="U153" s="1196"/>
      <x:c r="V153" s="1196"/>
      <x:c r="W153" s="1196"/>
      <x:c r="X153" s="1196"/>
    </x:row>
    <x:row r="154">
      <x:c r="U154" s="1196"/>
      <x:c r="V154" s="1196"/>
      <x:c r="W154" s="1196"/>
      <x:c r="X154" s="1196"/>
    </x:row>
    <x:row r="155">
      <x:c r="U155" s="1196"/>
      <x:c r="V155" s="1196"/>
      <x:c r="W155" s="1196"/>
      <x:c r="X155" s="1196"/>
    </x:row>
    <x:row r="156">
      <x:c r="U156" s="1196"/>
      <x:c r="V156" s="1196"/>
      <x:c r="W156" s="1196"/>
      <x:c r="X156" s="1196"/>
    </x:row>
    <x:row r="157">
      <x:c r="U157" s="1196"/>
      <x:c r="V157" s="1196"/>
      <x:c r="W157" s="1196"/>
      <x:c r="X157" s="1196"/>
    </x:row>
    <x:row r="158">
      <x:c r="U158" s="1196"/>
      <x:c r="V158" s="1196"/>
      <x:c r="W158" s="1196"/>
      <x:c r="X158" s="1196"/>
    </x:row>
    <x:row r="159">
      <x:c r="U159" s="1196"/>
      <x:c r="V159" s="1196"/>
      <x:c r="W159" s="1196"/>
      <x:c r="X159" s="1196"/>
    </x:row>
    <x:row r="160">
      <x:c r="U160" s="1196"/>
      <x:c r="V160" s="1196"/>
      <x:c r="W160" s="1196"/>
      <x:c r="X160" s="1196"/>
    </x:row>
    <x:row r="161">
      <x:c r="U161" s="1196"/>
      <x:c r="V161" s="1196"/>
      <x:c r="W161" s="1196"/>
      <x:c r="X161" s="1196"/>
    </x:row>
    <x:row r="162">
      <x:c r="U162" s="1196"/>
      <x:c r="V162" s="1196"/>
      <x:c r="W162" s="1196"/>
      <x:c r="X162" s="1196"/>
    </x:row>
    <x:row r="163">
      <x:c r="U163" s="1196"/>
      <x:c r="V163" s="1196"/>
      <x:c r="W163" s="1196"/>
      <x:c r="X163" s="1196"/>
    </x:row>
    <x:row r="164">
      <x:c r="U164" s="1196"/>
      <x:c r="V164" s="1196"/>
      <x:c r="W164" s="1196"/>
      <x:c r="X164" s="1196"/>
    </x:row>
    <x:row r="165">
      <x:c r="U165" s="1196"/>
      <x:c r="V165" s="1196"/>
      <x:c r="W165" s="1196"/>
      <x:c r="X165" s="1196"/>
    </x:row>
    <x:row r="166">
      <x:c r="U166" s="1196"/>
      <x:c r="V166" s="1196"/>
      <x:c r="W166" s="1196"/>
      <x:c r="X166" s="1196"/>
    </x:row>
    <x:row r="167">
      <x:c r="U167" s="1196"/>
      <x:c r="V167" s="1196"/>
      <x:c r="W167" s="1196"/>
      <x:c r="X167" s="1196"/>
    </x:row>
    <x:row r="168">
      <x:c r="U168" s="1196"/>
      <x:c r="V168" s="1196"/>
      <x:c r="W168" s="1196"/>
      <x:c r="X168" s="1196"/>
    </x:row>
    <x:row r="169">
      <x:c r="U169" s="1196"/>
      <x:c r="V169" s="1196"/>
      <x:c r="W169" s="1196"/>
      <x:c r="X169" s="1196"/>
    </x:row>
    <x:row r="170">
      <x:c r="U170" s="1196"/>
      <x:c r="V170" s="1196"/>
      <x:c r="W170" s="1196"/>
      <x:c r="X170" s="1196"/>
    </x:row>
    <x:row r="171">
      <x:c r="U171" s="1196"/>
      <x:c r="V171" s="1196"/>
      <x:c r="W171" s="1196"/>
      <x:c r="X171" s="1196"/>
    </x:row>
    <x:row r="172">
      <x:c r="U172" s="1196"/>
      <x:c r="V172" s="1196"/>
      <x:c r="W172" s="1196"/>
      <x:c r="X172" s="1196"/>
    </x:row>
    <x:row r="173">
      <x:c r="U173" s="1196"/>
      <x:c r="V173" s="1196"/>
      <x:c r="W173" s="1196"/>
      <x:c r="X173" s="1196"/>
    </x:row>
    <x:row r="174">
      <x:c r="U174" s="1196"/>
      <x:c r="V174" s="1196"/>
      <x:c r="W174" s="1196"/>
      <x:c r="X174" s="1196"/>
    </x:row>
    <x:row r="175">
      <x:c r="U175" s="1196"/>
      <x:c r="V175" s="1196"/>
      <x:c r="W175" s="1196"/>
      <x:c r="X175" s="1196"/>
    </x:row>
    <x:row r="176">
      <x:c r="U176" s="1196"/>
      <x:c r="V176" s="1196"/>
      <x:c r="W176" s="1196"/>
      <x:c r="X176" s="1196"/>
    </x:row>
    <x:row r="177">
      <x:c r="U177" s="1196"/>
      <x:c r="V177" s="1196"/>
      <x:c r="W177" s="1196"/>
      <x:c r="X177" s="1196"/>
    </x:row>
    <x:row r="178">
      <x:c r="U178" s="1196"/>
      <x:c r="V178" s="1196"/>
      <x:c r="W178" s="1196"/>
      <x:c r="X178" s="1196"/>
    </x:row>
    <x:row r="179">
      <x:c r="U179" s="1196"/>
      <x:c r="V179" s="1196"/>
      <x:c r="W179" s="1196"/>
      <x:c r="X179" s="1196"/>
    </x:row>
    <x:row r="180">
      <x:c r="U180" s="1196"/>
      <x:c r="V180" s="1196"/>
      <x:c r="W180" s="1196"/>
      <x:c r="X180" s="1196"/>
    </x:row>
    <x:row r="181">
      <x:c r="U181" s="1196"/>
      <x:c r="V181" s="1196"/>
      <x:c r="W181" s="1196"/>
      <x:c r="X181" s="1196"/>
    </x:row>
    <x:row r="182">
      <x:c r="U182" s="1196"/>
      <x:c r="V182" s="1196"/>
      <x:c r="W182" s="1196"/>
      <x:c r="X182" s="1196"/>
    </x:row>
    <x:row r="183">
      <x:c r="U183" s="1196"/>
      <x:c r="V183" s="1196"/>
      <x:c r="W183" s="1196"/>
      <x:c r="X183" s="1196"/>
    </x:row>
    <x:row r="184">
      <x:c r="U184" s="1196"/>
      <x:c r="V184" s="1196"/>
      <x:c r="W184" s="1196"/>
      <x:c r="X184" s="1196"/>
    </x:row>
    <x:row r="185">
      <x:c r="U185" s="1196"/>
      <x:c r="V185" s="1196"/>
      <x:c r="W185" s="1196"/>
      <x:c r="X185" s="1196"/>
    </x:row>
    <x:row r="186">
      <x:c r="U186" s="1196"/>
      <x:c r="V186" s="1196"/>
      <x:c r="W186" s="1196"/>
      <x:c r="X186" s="1196"/>
    </x:row>
    <x:row r="187">
      <x:c r="U187" s="1196"/>
      <x:c r="V187" s="1196"/>
      <x:c r="W187" s="1196"/>
      <x:c r="X187" s="1196"/>
    </x:row>
    <x:row r="188">
      <x:c r="U188" s="1196"/>
      <x:c r="V188" s="1196"/>
      <x:c r="W188" s="1196"/>
      <x:c r="X188" s="1196"/>
    </x:row>
    <x:row r="189">
      <x:c r="U189" s="1196"/>
      <x:c r="V189" s="1196"/>
      <x:c r="W189" s="1196"/>
      <x:c r="X189" s="1196"/>
    </x:row>
    <x:row r="190">
      <x:c r="U190" s="1196"/>
      <x:c r="V190" s="1196"/>
      <x:c r="W190" s="1196"/>
      <x:c r="X190" s="1196"/>
    </x:row>
    <x:row r="191">
      <x:c r="U191" s="1196"/>
      <x:c r="V191" s="1196"/>
      <x:c r="W191" s="1196"/>
      <x:c r="X191" s="1196"/>
    </x:row>
    <x:row r="192">
      <x:c r="U192" s="1196"/>
      <x:c r="V192" s="1196"/>
      <x:c r="W192" s="1196"/>
      <x:c r="X192" s="1196"/>
    </x:row>
    <x:row r="193">
      <x:c r="U193" s="1196"/>
      <x:c r="V193" s="1196"/>
      <x:c r="W193" s="1196"/>
      <x:c r="X193" s="1196"/>
    </x:row>
    <x:row r="194">
      <x:c r="U194" s="1196"/>
      <x:c r="V194" s="1196"/>
      <x:c r="W194" s="1196"/>
      <x:c r="X194" s="1196"/>
    </x:row>
    <x:row r="195">
      <x:c r="U195" s="1196"/>
      <x:c r="V195" s="1196"/>
      <x:c r="W195" s="1196"/>
      <x:c r="X195" s="1196"/>
    </x:row>
    <x:row r="196">
      <x:c r="U196" s="1196"/>
      <x:c r="V196" s="1196"/>
      <x:c r="W196" s="1196"/>
      <x:c r="X196" s="1196"/>
    </x:row>
    <x:row r="197">
      <x:c r="U197" s="1196"/>
      <x:c r="V197" s="1196"/>
      <x:c r="W197" s="1196"/>
      <x:c r="X197" s="1196"/>
    </x:row>
    <x:row r="198">
      <x:c r="U198" s="1196"/>
      <x:c r="V198" s="1196"/>
      <x:c r="W198" s="1196"/>
      <x:c r="X198" s="1196"/>
    </x:row>
    <x:row r="199">
      <x:c r="U199" s="1196"/>
      <x:c r="V199" s="1196"/>
      <x:c r="W199" s="1196"/>
      <x:c r="X199" s="1196"/>
    </x:row>
    <x:row r="200">
      <x:c r="U200" s="1196"/>
      <x:c r="V200" s="1196"/>
      <x:c r="W200" s="1196"/>
      <x:c r="X200" s="1196"/>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S1"/>
    <x:mergeCell ref="A2:S2"/>
    <x:mergeCell ref="A4:S4"/>
    <x:mergeCell ref="A17:S17"/>
    <x:mergeCell ref="A23:F24"/>
    <x:mergeCell ref="A27:S27"/>
    <x:mergeCell ref="A43:S43"/>
    <x:mergeCell ref="A90:J90"/>
    <x:mergeCell ref="A91:J91"/>
    <x:mergeCell ref="A94:S94"/>
    <x:mergeCell ref="A105:S105"/>
    <x:mergeCell ref="A121:S121"/>
    <x:mergeCell ref="A137:I137"/>
    <x:mergeCell ref="U1:X1"/>
    <x:mergeCell ref="V2:X2"/>
    <x:mergeCell ref="V3:X3"/>
    <x:mergeCell ref="V4:X4"/>
    <x:mergeCell ref="V5:X5"/>
    <x:mergeCell ref="V6:X6"/>
    <x:mergeCell ref="V7:X7"/>
    <x:mergeCell ref="A103:S104"/>
  </x:mergeCells>
  <x:pageMargins left="0.7" right="0.7" top="0.75" bottom="0.75" header="0.3" footer="0.3"/>
</x:worksheet>
</file>

<file path=xl/worksheets/sheet24.xml><?xml version="1.0" encoding="utf-8"?>
<x:worksheet xmlns:x="http://schemas.openxmlformats.org/spreadsheetml/2006/main">
  <x:sheetFormatPr defaultRowHeight="15"/>
  <x:cols>
    <x:col min="1" max="1" width="28" hidden="0" customWidth="1"/>
    <x:col min="2" max="2" width="34" hidden="0" customWidth="1"/>
    <x:col min="3" max="3" width="18" hidden="0" customWidth="1"/>
    <x:col min="4" max="4" width="18" hidden="0" customWidth="1"/>
    <x:col min="5" max="5" width="18" hidden="0" customWidth="1"/>
    <x:col min="6" max="6" width="28" hidden="0" customWidth="1"/>
    <x:col min="7" max="7" width="16" hidden="0" customWidth="1"/>
    <x:col min="8" max="8" width="28" hidden="0" customWidth="1"/>
    <x:col min="9" max="9" width="24" hidden="0" customWidth="1"/>
    <x:col min="10" max="10" width="30" hidden="0" customWidth="1"/>
    <x:col min="11" max="11" width="22" hidden="0" customWidth="1"/>
    <x:col min="12" max="12" width="32" hidden="0" customWidth="1"/>
    <x:col min="21" max="21" width="20" hidden="0" customWidth="1"/>
    <x:col min="22" max="22" width="24" hidden="0" customWidth="1"/>
    <x:col min="23" max="23" width="24" hidden="0" customWidth="1"/>
    <x:col min="24" max="24" width="24" hidden="0" customWidth="1"/>
  </x:cols>
  <x:sheetData>
    <x:row r="1" ht="30" customHeight="1">
      <x:c r="A1" s="897" t="str">
        <x:v>Stage-Gate Economic Tests</x:v>
      </x:c>
      <x:c r="B1" s="897"/>
      <x:c r="C1" s="897"/>
      <x:c r="D1" s="897"/>
      <x:c r="E1" s="897"/>
      <x:c r="F1" s="897"/>
      <x:c r="G1" s="897"/>
      <x:c r="H1" s="897"/>
      <x:c r="I1" s="897"/>
      <x:c r="J1" s="897"/>
      <x:c r="K1" s="897"/>
      <x:c r="L1" s="897"/>
      <x:c r="U1" s="1196"/>
      <x:c r="V1" s="1196"/>
      <x:c r="W1" s="1196"/>
      <x:c r="X1" s="1196"/>
    </x:row>
    <x:row r="2" ht="28" customHeight="1">
      <x:c r="A2" s="901" t="str">
        <x:v>National rollout requires a portfolio of causal, financial, equity, implementation and harm tests. One improved outcome is insufficient.</x:v>
      </x:c>
      <x:c r="B2" s="901"/>
      <x:c r="C2" s="901"/>
      <x:c r="D2" s="901"/>
      <x:c r="E2" s="901"/>
      <x:c r="F2" s="901"/>
      <x:c r="G2" s="901"/>
      <x:c r="H2" s="901"/>
      <x:c r="I2" s="901"/>
      <x:c r="J2" s="901"/>
      <x:c r="K2" s="901"/>
      <x:c r="L2" s="901"/>
      <x:c r="U2" s="1201"/>
      <x:c r="V2" s="1201"/>
      <x:c r="W2" s="1201"/>
      <x:c r="X2" s="1201"/>
    </x:row>
    <x:row r="3">
      <x:c r="U3" s="1201"/>
      <x:c r="V3" s="1201"/>
      <x:c r="W3" s="1201"/>
      <x:c r="X3" s="1201"/>
    </x:row>
    <x:row r="4" ht="23" customHeight="1">
      <x:c r="A4" s="905" t="str">
        <x:v>Stage 0 — measurement and decision architecture</x:v>
      </x:c>
      <x:c r="B4" s="905"/>
      <x:c r="C4" s="905"/>
      <x:c r="D4" s="905"/>
      <x:c r="E4" s="905"/>
      <x:c r="F4" s="905"/>
      <x:c r="G4" s="905"/>
      <x:c r="H4" s="905"/>
      <x:c r="I4" s="905"/>
      <x:c r="J4" s="905"/>
      <x:c r="K4" s="905"/>
      <x:c r="L4" s="905"/>
      <x:c r="U4" s="1201"/>
      <x:c r="V4" s="1201"/>
      <x:c r="W4" s="1201"/>
      <x:c r="X4" s="1201"/>
    </x:row>
    <x:row r="5" ht="30" customHeight="1">
      <x:c r="A5" s="909" t="str">
        <x:v>Test</x:v>
      </x:c>
      <x:c r="B5" s="909" t="str">
        <x:v>Required Stage 0 output</x:v>
      </x:c>
      <x:c r="C5" s="909" t="str">
        <x:v>Threshold / decision rule</x:v>
      </x:c>
      <x:c r="D5" s="909" t="str">
        <x:v>Evidence owner</x:v>
      </x:c>
      <x:c r="E5" s="909" t="str">
        <x:v>Status</x:v>
      </x:c>
      <x:c r="F5" s="909" t="str">
        <x:v>Failure response</x:v>
      </x:c>
      <x:c r="G5" s="909" t="str">
        <x:v>Source ID</x:v>
      </x:c>
      <x:c r="U5" s="1201"/>
      <x:c r="V5" s="1201"/>
      <x:c r="W5" s="1201"/>
      <x:c r="X5" s="1201"/>
    </x:row>
    <x:row r="6">
      <x:c r="A6" s="26" t="str">
        <x:v>Outcome ladder</x:v>
      </x:c>
      <x:c r="B6" s="26" t="str">
        <x:v>Pre-registered definitions from attendance through earnings and fiscal effects</x:v>
      </x:c>
      <x:c r="C6" s="26" t="str">
        <x:v>Every outcome has baseline, counterfactual, timing, attribution and overlap treatment</x:v>
      </x:c>
      <x:c r="D6" s="26" t="str">
        <x:v>Independent evaluator</x:v>
      </x:c>
      <x:c r="E6" s="26" t="str">
        <x:v>OPEN</x:v>
      </x:c>
      <x:c r="F6" s="26" t="str">
        <x:v>Do not commence pilot until measurable</x:v>
      </x:c>
      <x:c r="G6" s="26" t="str">
        <x:v>S05;A18</x:v>
      </x:c>
      <x:c r="U6" s="1201"/>
      <x:c r="V6" s="1201"/>
      <x:c r="W6" s="1201"/>
      <x:c r="X6" s="1201"/>
    </x:row>
    <x:row r="7">
      <x:c r="A7" s="26" t="str">
        <x:v>Linked-data feasibility</x:v>
      </x:c>
      <x:c r="B7" s="26" t="str">
        <x:v>Education, tax, benefit, justice and student-loan linkage design</x:v>
      </x:c>
      <x:c r="C7" s="26" t="str">
        <x:v>Lawful, proportionate and technically feasible</x:v>
      </x:c>
      <x:c r="D7" s="26" t="str">
        <x:v>Ministry / IR / MSD / Stats NZ</x:v>
      </x:c>
      <x:c r="E7" s="26" t="str">
        <x:v>OPEN</x:v>
      </x:c>
      <x:c r="F7" s="26" t="str">
        <x:v>Redesign data scope or stop</x:v>
      </x:c>
      <x:c r="G7" s="26" t="str">
        <x:v>S15;S24;A15</x:v>
      </x:c>
      <x:c r="U7" s="1201"/>
      <x:c r="V7" s="1201"/>
      <x:c r="W7" s="1201"/>
      <x:c r="X7" s="1201"/>
    </x:row>
    <x:row r="8">
      <x:c r="A8" s="26" t="str">
        <x:v>Age-earnings model</x:v>
      </x:c>
      <x:c r="B8" s="26" t="str">
        <x:v>Validated NZ age-earnings and tax model</x:v>
      </x:c>
      <x:c r="C8" s="26" t="str">
        <x:v>Independent economic and actuarial sign-off</x:v>
      </x:c>
      <x:c r="D8" s="26" t="str">
        <x:v>Treasury / independent economist</x:v>
      </x:c>
      <x:c r="E8" s="26" t="str">
        <x:v>OPEN</x:v>
      </x:c>
      <x:c r="F8" s="26" t="str">
        <x:v>Use unmonetised outcomes only</x:v>
      </x:c>
      <x:c r="G8" s="26" t="str">
        <x:v>S34;S42;S43</x:v>
      </x:c>
      <x:c r="U8" s="1196"/>
      <x:c r="V8" s="1196"/>
      <x:c r="W8" s="1196"/>
      <x:c r="X8" s="1196"/>
    </x:row>
    <x:row r="9">
      <x:c r="A9" s="26" t="str">
        <x:v>Universal / targeted design</x:v>
      </x:c>
      <x:c r="B9" s="26" t="str">
        <x:v>Separate service specification and unit costs</x:v>
      </x:c>
      <x:c r="C9" s="26" t="str">
        <x:v>No assumption of uniform intensity</x:v>
      </x:c>
      <x:c r="D9" s="26" t="str">
        <x:v>Programme design lead</x:v>
      </x:c>
      <x:c r="E9" s="26" t="str">
        <x:v>OPEN</x:v>
      </x:c>
      <x:c r="F9" s="26" t="str">
        <x:v>Redesign delivery model</x:v>
      </x:c>
      <x:c r="G9" s="26" t="str">
        <x:v>A20</x:v>
      </x:c>
      <x:c r="U9" s="1196"/>
      <x:c r="V9" s="1196"/>
      <x:c r="W9" s="1196"/>
      <x:c r="X9" s="1196"/>
    </x:row>
    <x:row r="10">
      <x:c r="A10" s="26" t="str">
        <x:v>Industry safeguards</x:v>
      </x:c>
      <x:c r="B10" s="26" t="str">
        <x:v>Pooled funding and independent labour-market governance</x:v>
      </x:c>
      <x:c r="C10" s="26" t="str">
        <x:v>No employer control of individual careers or national supply</x:v>
      </x:c>
      <x:c r="D10" s="26" t="str">
        <x:v>Governance / labour representatives</x:v>
      </x:c>
      <x:c r="E10" s="26" t="str">
        <x:v>OPEN</x:v>
      </x:c>
      <x:c r="F10" s="26" t="str">
        <x:v>Exclude contribution or redesign</x:v>
      </x:c>
      <x:c r="G10" s="26" t="str">
        <x:v>A21</x:v>
      </x:c>
      <x:c r="U10" s="1196"/>
      <x:c r="V10" s="1196"/>
      <x:c r="W10" s="1196"/>
      <x:c r="X10" s="1196"/>
    </x:row>
    <x:row r="11">
      <x:c r="A11" s="26" t="str">
        <x:v>Stop/go thresholds</x:v>
      </x:c>
      <x:c r="B11" s="26" t="str">
        <x:v>Signed decision rules for cost, BCR, equity, burden and harm</x:v>
      </x:c>
      <x:c r="C11" s="26" t="str">
        <x:v>Thresholds approved before pilot data are seen</x:v>
      </x:c>
      <x:c r="D11" s="26" t="str">
        <x:v>Treasury / evaluator / governance</x:v>
      </x:c>
      <x:c r="E11" s="26" t="str">
        <x:v>OPEN</x:v>
      </x:c>
      <x:c r="F11" s="26" t="str">
        <x:v>No discretionary post-hoc threshold changes</x:v>
      </x:c>
      <x:c r="G11" s="26" t="str">
        <x:v>A22</x:v>
      </x:c>
      <x:c r="U11" s="1196"/>
      <x:c r="V11" s="1196"/>
      <x:c r="W11" s="1196"/>
      <x:c r="X11" s="1196"/>
    </x:row>
    <x:row r="12">
      <x:c r="U12" s="1196"/>
      <x:c r="V12" s="1196"/>
      <x:c r="W12" s="1196"/>
      <x:c r="X12" s="1196"/>
    </x:row>
    <x:row r="13">
      <x:c r="U13" s="1196"/>
      <x:c r="V13" s="1196"/>
      <x:c r="W13" s="1196"/>
      <x:c r="X13" s="1196"/>
    </x:row>
    <x:row r="14" ht="23" customHeight="1">
      <x:c r="A14" s="905" t="str">
        <x:v>Pilot — provisional stop / go scorecard</x:v>
      </x:c>
      <x:c r="B14" s="905"/>
      <x:c r="C14" s="905"/>
      <x:c r="D14" s="905"/>
      <x:c r="E14" s="905"/>
      <x:c r="F14" s="905"/>
      <x:c r="G14" s="905"/>
      <x:c r="H14" s="905"/>
      <x:c r="I14" s="905"/>
      <x:c r="J14" s="905"/>
      <x:c r="K14" s="905"/>
      <x:c r="L14" s="905"/>
      <x:c r="U14" s="1196"/>
      <x:c r="V14" s="1196"/>
      <x:c r="W14" s="1196"/>
      <x:c r="X14" s="1196"/>
    </x:row>
    <x:row r="15" ht="30" customHeight="1">
      <x:c r="A15" s="909" t="str">
        <x:v>Pilot test</x:v>
      </x:c>
      <x:c r="B15" s="909" t="str">
        <x:v>Measured outcome</x:v>
      </x:c>
      <x:c r="C15" s="909" t="str">
        <x:v>Modelled / observed value</x:v>
      </x:c>
      <x:c r="D15" s="909" t="str">
        <x:v>Provisional threshold</x:v>
      </x:c>
      <x:c r="E15" s="909" t="str">
        <x:v>Unit</x:v>
      </x:c>
      <x:c r="F15" s="909" t="str">
        <x:v>Go rule</x:v>
      </x:c>
      <x:c r="G15" s="909" t="str">
        <x:v>Current status</x:v>
      </x:c>
      <x:c r="H15" s="909" t="str">
        <x:v>Evidence source</x:v>
      </x:c>
      <x:c r="I15" s="909" t="str">
        <x:v>Equity test</x:v>
      </x:c>
      <x:c r="J15" s="909" t="str">
        <x:v>Implementation / harm test</x:v>
      </x:c>
      <x:c r="K15" s="909" t="str">
        <x:v>Decision owner</x:v>
      </x:c>
      <x:c r="L15" s="909" t="str">
        <x:v>Interpretation</x:v>
      </x:c>
      <x:c r="U15" s="1196"/>
      <x:c r="V15" s="1196"/>
      <x:c r="W15" s="1196"/>
      <x:c r="X15" s="1196"/>
    </x:row>
    <x:row r="16">
      <x:c r="A16" s="26" t="str">
        <x:v>Regular attendance</x:v>
      </x:c>
      <x:c r="B16" s="26" t="str">
        <x:v>Additional regular attendees</x:v>
      </x:c>
      <x:c r="C16" s="26"/>
      <x:c r="D16" s="167" t="n">
        <x:f>Assumptions!$E$181</x:f>
        <x:v>25000</x:v>
      </x:c>
      <x:c r="E16" s="26" t="str">
        <x:v>NZD/additional attendee</x:v>
      </x:c>
      <x:c r="F16" s="26" t="str">
        <x:v>Cost at or below threshold</x:v>
      </x:c>
      <x:c r="G16" s="979" t="str">
        <x:v>NOT TESTED</x:v>
      </x:c>
      <x:c r="H16" s="26" t="str">
        <x:v>Daily / term attendance data</x:v>
      </x:c>
      <x:c r="I16" s="26" t="str">
        <x:v>Priority-group effect ≥ threshold ratio</x:v>
      </x:c>
      <x:c r="J16" s="26" t="str">
        <x:v>No attendance gaming</x:v>
      </x:c>
      <x:c r="K16" s="26" t="str">
        <x:v>Independent evaluator</x:v>
      </x:c>
      <x:c r="L16" s="26" t="str">
        <x:v>Causal effect required</x:v>
      </x:c>
      <x:c r="U16" s="1196"/>
      <x:c r="V16" s="1196"/>
      <x:c r="W16" s="1196"/>
      <x:c r="X16" s="1196"/>
    </x:row>
    <x:row r="17">
      <x:c r="A17" s="26" t="str">
        <x:v>Qualification attainment</x:v>
      </x:c>
      <x:c r="B17" s="26" t="str">
        <x:v>Additional Level 2 / Level 3 qualifications</x:v>
      </x:c>
      <x:c r="C17" s="26"/>
      <x:c r="D17" s="167" t="n">
        <x:f>Assumptions!$E$182</x:f>
        <x:v>75000</x:v>
      </x:c>
      <x:c r="E17" s="26" t="str">
        <x:v>NZD/additional qualification</x:v>
      </x:c>
      <x:c r="F17" s="26" t="str">
        <x:v>Cost at or below threshold</x:v>
      </x:c>
      <x:c r="G17" s="979" t="str">
        <x:v>NOT TESTED</x:v>
      </x:c>
      <x:c r="H17" s="26" t="str">
        <x:v>NZQA / ENROL linked data</x:v>
      </x:c>
      <x:c r="I17" s="26" t="str">
        <x:v>No widening of qualification gaps</x:v>
      </x:c>
      <x:c r="J17" s="26" t="str">
        <x:v>No credential dilution</x:v>
      </x:c>
      <x:c r="K17" s="26" t="str">
        <x:v>Independent evaluator</x:v>
      </x:c>
      <x:c r="L17" s="26" t="str">
        <x:v>Qualification quality matters</x:v>
      </x:c>
      <x:c r="U17" s="1196"/>
      <x:c r="V17" s="1196"/>
      <x:c r="W17" s="1196"/>
      <x:c r="X17" s="1196"/>
    </x:row>
    <x:row r="18">
      <x:c r="A18" s="26" t="str">
        <x:v>Successful transition</x:v>
      </x:c>
      <x:c r="B18" s="26" t="str">
        <x:v>Additional tertiary, vocational, apprenticeship or sustained-employment transitions</x:v>
      </x:c>
      <x:c r="C18" s="26"/>
      <x:c r="D18" s="167" t="n">
        <x:f>Assumptions!$E$183</x:f>
        <x:v>50000</x:v>
      </x:c>
      <x:c r="E18" s="26" t="str">
        <x:v>NZD/additional transition</x:v>
      </x:c>
      <x:c r="F18" s="26" t="str">
        <x:v>Cost at or below threshold</x:v>
      </x:c>
      <x:c r="G18" s="979" t="str">
        <x:v>NOT TESTED</x:v>
      </x:c>
      <x:c r="H18" s="26" t="str">
        <x:v>Education and employment linkage</x:v>
      </x:c>
      <x:c r="I18" s="26" t="str">
        <x:v>Priority-group effect ≥ threshold ratio</x:v>
      </x:c>
      <x:c r="J18" s="26" t="str">
        <x:v>Provider capacity acceptable</x:v>
      </x:c>
      <x:c r="K18" s="26" t="str">
        <x:v>Independent evaluator</x:v>
      </x:c>
      <x:c r="L18" s="26" t="str">
        <x:v>Entry alone is not completion</x:v>
      </x:c>
      <x:c r="U18" s="1196"/>
      <x:c r="V18" s="1196"/>
      <x:c r="W18" s="1196"/>
      <x:c r="X18" s="1196"/>
    </x:row>
    <x:row r="19">
      <x:c r="A19" s="26" t="str">
        <x:v>Completion</x:v>
      </x:c>
      <x:c r="B19" s="26" t="str">
        <x:v>Additional apprenticeship or tertiary completions</x:v>
      </x:c>
      <x:c r="C19" s="26"/>
      <x:c r="D19" s="167" t="n">
        <x:f>Assumptions!$E$184</x:f>
        <x:v>100000</x:v>
      </x:c>
      <x:c r="E19" s="26" t="str">
        <x:v>NZD/additional completion</x:v>
      </x:c>
      <x:c r="F19" s="26" t="str">
        <x:v>Cost at or below threshold</x:v>
      </x:c>
      <x:c r="G19" s="979" t="str">
        <x:v>NOT TESTED</x:v>
      </x:c>
      <x:c r="H19" s="26" t="str">
        <x:v>Provider / workplace completion data</x:v>
      </x:c>
      <x:c r="I19" s="26" t="str">
        <x:v>No widening of completion gaps</x:v>
      </x:c>
      <x:c r="J19" s="26" t="str">
        <x:v>No provider gaming</x:v>
      </x:c>
      <x:c r="K19" s="26" t="str">
        <x:v>Independent evaluator</x:v>
      </x:c>
      <x:c r="L19" s="26" t="str">
        <x:v>Completion gate</x:v>
      </x:c>
      <x:c r="U19" s="1196"/>
      <x:c r="V19" s="1196"/>
      <x:c r="W19" s="1196"/>
      <x:c r="X19" s="1196"/>
    </x:row>
    <x:row r="20">
      <x:c r="A20" s="26" t="str">
        <x:v>Lifetime social return</x:v>
      </x:c>
      <x:c r="B20" s="26" t="str">
        <x:v>Projected lifetime social BCR</x:v>
      </x:c>
      <x:c r="C20" s="26"/>
      <x:c r="D20" s="963" t="n">
        <x:f>Assumptions!$E$185</x:f>
        <x:v>1</x:v>
      </x:c>
      <x:c r="E20" s="26" t="str">
        <x:v>x</x:v>
      </x:c>
      <x:c r="F20" s="26" t="str">
        <x:v>Central BCR ≥ threshold and downside case disclosed</x:v>
      </x:c>
      <x:c r="G20" s="979" t="str">
        <x:v>NOT TESTED</x:v>
      </x:c>
      <x:c r="H20" s="26" t="str">
        <x:v>Human Capital &amp; Earnings</x:v>
      </x:c>
      <x:c r="I20" s="26" t="str">
        <x:v>Distribution reported</x:v>
      </x:c>
      <x:c r="J20" s="26" t="str">
        <x:v>No material unpriced harm</x:v>
      </x:c>
      <x:c r="K20" s="26" t="str">
        <x:v>Treasury / Cabinet</x:v>
      </x:c>
      <x:c r="L20" s="26" t="str">
        <x:v>One outcome is insufficient</x:v>
      </x:c>
      <x:c r="U20" s="1196"/>
      <x:c r="V20" s="1196"/>
      <x:c r="W20" s="1196"/>
      <x:c r="X20" s="1196"/>
    </x:row>
    <x:row r="21">
      <x:c r="A21" s="26" t="str">
        <x:v>Crown fiscal coverage</x:v>
      </x:c>
      <x:c r="B21" s="26" t="str">
        <x:v>Projected Crown fiscal coverage</x:v>
      </x:c>
      <x:c r="C21" s="26"/>
      <x:c r="D21" s="963" t="n">
        <x:f>Assumptions!$E$186</x:f>
        <x:v>0.35</x:v>
      </x:c>
      <x:c r="E21" s="26" t="str">
        <x:v>x</x:v>
      </x:c>
      <x:c r="F21" s="26" t="str">
        <x:v>At or above threshold, or explicit Cabinet judgement</x:v>
      </x:c>
      <x:c r="G21" s="979" t="str">
        <x:v>NOT TESTED</x:v>
      </x:c>
      <x:c r="H21" s="26" t="str">
        <x:v>Human Capital &amp; Earnings</x:v>
      </x:c>
      <x:c r="I21" s="26" t="str">
        <x:v>Fiscal incidence reported</x:v>
      </x:c>
      <x:c r="J21" s="26" t="str">
        <x:v>No hidden contingent liability</x:v>
      </x:c>
      <x:c r="K21" s="26" t="str">
        <x:v>Treasury / Cabinet</x:v>
      </x:c>
      <x:c r="L21" s="26" t="str">
        <x:v>Social return may turn positive first</x:v>
      </x:c>
      <x:c r="U21" s="1196"/>
      <x:c r="V21" s="1196"/>
      <x:c r="W21" s="1196"/>
      <x:c r="X21" s="1196"/>
    </x:row>
    <x:row r="22">
      <x:c r="A22" s="26" t="str">
        <x:v>School workload</x:v>
      </x:c>
      <x:c r="B22" s="26" t="str">
        <x:v>Hours per participant per year</x:v>
      </x:c>
      <x:c r="C22" s="26"/>
      <x:c r="D22" s="932" t="n">
        <x:f>Assumptions!$E$188</x:f>
        <x:v>6</x:v>
      </x:c>
      <x:c r="E22" s="26" t="str">
        <x:v>hours/student/year</x:v>
      </x:c>
      <x:c r="F22" s="26" t="str">
        <x:v>At or below threshold</x:v>
      </x:c>
      <x:c r="G22" s="979" t="str">
        <x:v>NOT TESTED</x:v>
      </x:c>
      <x:c r="H22" s="26" t="str">
        <x:v>Time-and-motion study</x:v>
      </x:c>
      <x:c r="I22" s="26" t="str">
        <x:v>Burden by school type</x:v>
      </x:c>
      <x:c r="J22" s="26" t="str">
        <x:v>No material teaching displacement</x:v>
      </x:c>
      <x:c r="K22" s="26" t="str">
        <x:v>Ministry / schools</x:v>
      </x:c>
      <x:c r="L22" s="26" t="str">
        <x:v>Implementation gate</x:v>
      </x:c>
      <x:c r="U22" s="1196"/>
      <x:c r="V22" s="1196"/>
      <x:c r="W22" s="1196"/>
      <x:c r="X22" s="1196"/>
    </x:row>
    <x:row r="23">
      <x:c r="A23" s="26" t="str">
        <x:v>Gaming / false claims</x:v>
      </x:c>
      <x:c r="B23" s="26" t="str">
        <x:v>Verified false-claim rate</x:v>
      </x:c>
      <x:c r="C23" s="26"/>
      <x:c r="D23" s="276" t="n">
        <x:f>Assumptions!$E$189</x:f>
        <x:v>0.01</x:v>
      </x:c>
      <x:c r="E23" s="26" t="str">
        <x:v>%</x:v>
      </x:c>
      <x:c r="F23" s="26" t="str">
        <x:v>At or below threshold</x:v>
      </x:c>
      <x:c r="G23" s="979" t="str">
        <x:v>NOT TESTED</x:v>
      </x:c>
      <x:c r="H23" s="26" t="str">
        <x:v>Audit and verification data</x:v>
      </x:c>
      <x:c r="I23" s="26" t="str">
        <x:v>No group-specific bias</x:v>
      </x:c>
      <x:c r="J23" s="26" t="str">
        <x:v>No systematic exploitation</x:v>
      </x:c>
      <x:c r="K23" s="26" t="str">
        <x:v>Governance / audit</x:v>
      </x:c>
      <x:c r="L23" s="26" t="str">
        <x:v>Harm gate</x:v>
      </x:c>
      <x:c r="U23" s="1196"/>
      <x:c r="V23" s="1196"/>
      <x:c r="W23" s="1196"/>
      <x:c r="X23" s="1196"/>
    </x:row>
    <x:row r="24">
      <x:c r="A24" s="26" t="str">
        <x:v>Labour-market effects</x:v>
      </x:c>
      <x:c r="B24" s="26" t="str">
        <x:v>Wages, vacancy duration, displacement and occupation supply</x:v>
      </x:c>
      <x:c r="C24" s="26"/>
      <x:c r="D24" s="26" t="n">
        <x:v>0</x:v>
      </x:c>
      <x:c r="E24" s="26" t="str">
        <x:v>material adverse effect</x:v>
      </x:c>
      <x:c r="F24" s="26" t="str">
        <x:v>No credible adverse labour-market effect</x:v>
      </x:c>
      <x:c r="G24" s="979" t="str">
        <x:v>NOT TESTED</x:v>
      </x:c>
      <x:c r="H24" s="26" t="str">
        <x:v>MBIE / Stats NZ / worker representation</x:v>
      </x:c>
      <x:c r="I24" s="26" t="str">
        <x:v>Regional and group effects</x:v>
      </x:c>
      <x:c r="J24" s="26" t="str">
        <x:v>No wage suppression or oversupply</x:v>
      </x:c>
      <x:c r="K24" s="26" t="str">
        <x:v>Independent labour-market panel</x:v>
      </x:c>
      <x:c r="L24" s="26" t="str">
        <x:v>General-equilibrium gate</x:v>
      </x:c>
      <x:c r="U24" s="1196"/>
      <x:c r="V24" s="1196"/>
      <x:c r="W24" s="1196"/>
      <x:c r="X24" s="1196"/>
    </x:row>
    <x:row r="25">
      <x:c r="U25" s="1196"/>
      <x:c r="V25" s="1196"/>
      <x:c r="W25" s="1196"/>
      <x:c r="X25" s="1196"/>
    </x:row>
    <x:row r="26">
      <x:c r="U26" s="1196"/>
      <x:c r="V26" s="1196"/>
      <x:c r="W26" s="1196"/>
      <x:c r="X26" s="1196"/>
    </x:row>
    <x:row r="27" ht="23" customHeight="1">
      <x:c r="A27" s="905" t="str">
        <x:v>National rollout decision rule</x:v>
      </x:c>
      <x:c r="B27" s="905"/>
      <x:c r="C27" s="905"/>
      <x:c r="D27" s="905"/>
      <x:c r="E27" s="905"/>
      <x:c r="F27" s="905"/>
      <x:c r="G27" s="905"/>
      <x:c r="H27" s="905"/>
      <x:c r="I27" s="905"/>
      <x:c r="J27" s="905"/>
      <x:c r="K27" s="905"/>
      <x:c r="L27" s="905"/>
      <x:c r="U27" s="1196"/>
      <x:c r="V27" s="1196"/>
      <x:c r="W27" s="1196"/>
      <x:c r="X27" s="1196"/>
    </x:row>
    <x:row r="28">
      <x:c r="A28" s="982" t="str">
        <x:v>GO only if the independently evaluated pilot demonstrates a coherent portfolio of effects: causal attendance or engagement improvement, qualification progression, successful transition and retention, credible completion and employment effects, genuine student-loan displacement, acceptable cost per additional outcome, projected lifetime social value, explicit Crown fiscal coverage, equitable effects, manageable school workload, and no material gaming or labour-market harm. A positive attendance result alone, a single qualification result, or an illustrative BCR is not sufficient.</x:v>
      </x:c>
      <x:c r="B28" s="982"/>
      <x:c r="C28" s="982"/>
      <x:c r="D28" s="982"/>
      <x:c r="E28" s="982"/>
      <x:c r="F28" s="982"/>
      <x:c r="G28" s="982"/>
      <x:c r="H28" s="982"/>
      <x:c r="I28" s="982"/>
      <x:c r="J28" s="982"/>
      <x:c r="K28" s="982"/>
      <x:c r="L28" s="982"/>
      <x:c r="U28" s="1196"/>
      <x:c r="V28" s="1196"/>
      <x:c r="W28" s="1196"/>
      <x:c r="X28" s="1196"/>
    </x:row>
    <x:row r="29">
      <x:c r="A29" s="982"/>
      <x:c r="B29" s="982"/>
      <x:c r="C29" s="982"/>
      <x:c r="D29" s="982"/>
      <x:c r="E29" s="982"/>
      <x:c r="F29" s="982"/>
      <x:c r="G29" s="982"/>
      <x:c r="H29" s="982"/>
      <x:c r="I29" s="982"/>
      <x:c r="J29" s="982"/>
      <x:c r="K29" s="982"/>
      <x:c r="L29" s="982"/>
      <x:c r="U29" s="1196"/>
      <x:c r="V29" s="1196"/>
      <x:c r="W29" s="1196"/>
      <x:c r="X29" s="1196"/>
    </x:row>
    <x:row r="30">
      <x:c r="A30" s="982"/>
      <x:c r="B30" s="982"/>
      <x:c r="C30" s="982"/>
      <x:c r="D30" s="982"/>
      <x:c r="E30" s="982"/>
      <x:c r="F30" s="982"/>
      <x:c r="G30" s="982"/>
      <x:c r="H30" s="982"/>
      <x:c r="I30" s="982"/>
      <x:c r="J30" s="982"/>
      <x:c r="K30" s="982"/>
      <x:c r="L30" s="982"/>
      <x:c r="U30" s="1196"/>
      <x:c r="V30" s="1196"/>
      <x:c r="W30" s="1196"/>
      <x:c r="X30" s="1196"/>
    </x:row>
    <x:row r="31">
      <x:c r="A31" s="982"/>
      <x:c r="B31" s="982"/>
      <x:c r="C31" s="982"/>
      <x:c r="D31" s="982"/>
      <x:c r="E31" s="982"/>
      <x:c r="F31" s="982"/>
      <x:c r="G31" s="982"/>
      <x:c r="H31" s="982"/>
      <x:c r="I31" s="982"/>
      <x:c r="J31" s="982"/>
      <x:c r="K31" s="982"/>
      <x:c r="L31" s="982"/>
      <x:c r="U31" s="1196"/>
      <x:c r="V31" s="1196"/>
      <x:c r="W31" s="1196"/>
      <x:c r="X31" s="1196"/>
    </x:row>
    <x:row r="32">
      <x:c r="A32" s="982"/>
      <x:c r="B32" s="982"/>
      <x:c r="C32" s="982"/>
      <x:c r="D32" s="982"/>
      <x:c r="E32" s="982"/>
      <x:c r="F32" s="982"/>
      <x:c r="G32" s="982"/>
      <x:c r="H32" s="982"/>
      <x:c r="I32" s="982"/>
      <x:c r="J32" s="982"/>
      <x:c r="K32" s="982"/>
      <x:c r="L32" s="982"/>
      <x:c r="U32" s="1196"/>
      <x:c r="V32" s="1196"/>
      <x:c r="W32" s="1196"/>
      <x:c r="X32" s="1196"/>
    </x:row>
    <x:row r="33">
      <x:c r="U33" s="1196"/>
      <x:c r="V33" s="1196"/>
      <x:c r="W33" s="1196"/>
      <x:c r="X33" s="1196"/>
    </x:row>
    <x:row r="34">
      <x:c r="U34" s="1196"/>
      <x:c r="V34" s="1196"/>
      <x:c r="W34" s="1196"/>
      <x:c r="X34" s="1196"/>
    </x:row>
    <x:row r="35">
      <x:c r="U35" s="1196"/>
      <x:c r="V35" s="1196"/>
      <x:c r="W35" s="1196"/>
      <x:c r="X35" s="1196"/>
    </x:row>
    <x:row r="36">
      <x:c r="U36" s="1196"/>
      <x:c r="V36" s="1196"/>
      <x:c r="W36" s="1196"/>
      <x:c r="X36" s="1196"/>
    </x:row>
    <x:row r="37">
      <x:c r="U37" s="1196"/>
      <x:c r="V37" s="1196"/>
      <x:c r="W37" s="1196"/>
      <x:c r="X37" s="1196"/>
    </x:row>
    <x:row r="38">
      <x:c r="U38" s="1196"/>
      <x:c r="V38" s="1196"/>
      <x:c r="W38" s="1196"/>
      <x:c r="X38" s="1196"/>
    </x:row>
    <x:row r="39">
      <x:c r="U39" s="1196"/>
      <x:c r="V39" s="1196"/>
      <x:c r="W39" s="1196"/>
      <x:c r="X39" s="1196"/>
    </x:row>
    <x:row r="40">
      <x:c r="U40" s="1196"/>
      <x:c r="V40" s="1196"/>
      <x:c r="W40" s="1196"/>
      <x:c r="X40" s="1196"/>
    </x:row>
    <x:row r="41">
      <x:c r="U41" s="1196"/>
      <x:c r="V41" s="1196"/>
      <x:c r="W41" s="1196"/>
      <x:c r="X41" s="1196"/>
    </x:row>
    <x:row r="42">
      <x:c r="U42" s="1196"/>
      <x:c r="V42" s="1196"/>
      <x:c r="W42" s="1196"/>
      <x:c r="X42" s="1196"/>
    </x:row>
    <x:row r="43">
      <x:c r="U43" s="1196"/>
      <x:c r="V43" s="1196"/>
      <x:c r="W43" s="1196"/>
      <x:c r="X43" s="1196"/>
    </x:row>
    <x:row r="44">
      <x:c r="U44" s="1196"/>
      <x:c r="V44" s="1196"/>
      <x:c r="W44" s="1196"/>
      <x:c r="X44" s="1196"/>
    </x:row>
    <x:row r="45">
      <x:c r="U45" s="1196"/>
      <x:c r="V45" s="1196"/>
      <x:c r="W45" s="1196"/>
      <x:c r="X45" s="1196"/>
    </x:row>
    <x:row r="46">
      <x:c r="U46" s="1196"/>
      <x:c r="V46" s="1196"/>
      <x:c r="W46" s="1196"/>
      <x:c r="X46" s="1196"/>
    </x:row>
    <x:row r="47">
      <x:c r="U47" s="1196"/>
      <x:c r="V47" s="1196"/>
      <x:c r="W47" s="1196"/>
      <x:c r="X47" s="1196"/>
    </x:row>
    <x:row r="48">
      <x:c r="U48" s="1196"/>
      <x:c r="V48" s="1196"/>
      <x:c r="W48" s="1196"/>
      <x:c r="X48" s="1196"/>
    </x:row>
    <x:row r="49">
      <x:c r="U49" s="1196"/>
      <x:c r="V49" s="1196"/>
      <x:c r="W49" s="1196"/>
      <x:c r="X49" s="1196"/>
    </x:row>
    <x:row r="50">
      <x:c r="U50" s="1196"/>
      <x:c r="V50" s="1196"/>
      <x:c r="W50" s="1196"/>
      <x:c r="X50" s="1196"/>
    </x:row>
    <x:row r="51">
      <x:c r="U51" s="1196"/>
      <x:c r="V51" s="1196"/>
      <x:c r="W51" s="1196"/>
      <x:c r="X51" s="1196"/>
    </x:row>
    <x:row r="52">
      <x:c r="U52" s="1196"/>
      <x:c r="V52" s="1196"/>
      <x:c r="W52" s="1196"/>
      <x:c r="X52" s="1196"/>
    </x:row>
    <x:row r="53">
      <x:c r="U53" s="1196"/>
      <x:c r="V53" s="1196"/>
      <x:c r="W53" s="1196"/>
      <x:c r="X53" s="1196"/>
    </x:row>
    <x:row r="54">
      <x:c r="U54" s="1196"/>
      <x:c r="V54" s="1196"/>
      <x:c r="W54" s="1196"/>
      <x:c r="X54" s="1196"/>
    </x:row>
    <x:row r="55">
      <x:c r="U55" s="1196"/>
      <x:c r="V55" s="1196"/>
      <x:c r="W55" s="1196"/>
      <x:c r="X55" s="1196"/>
    </x:row>
    <x:row r="56">
      <x:c r="U56" s="1196"/>
      <x:c r="V56" s="1196"/>
      <x:c r="W56" s="1196"/>
      <x:c r="X56" s="1196"/>
    </x:row>
    <x:row r="57">
      <x:c r="U57" s="1196"/>
      <x:c r="V57" s="1196"/>
      <x:c r="W57" s="1196"/>
      <x:c r="X57" s="1196"/>
    </x:row>
    <x:row r="58">
      <x:c r="U58" s="1196"/>
      <x:c r="V58" s="1196"/>
      <x:c r="W58" s="1196"/>
      <x:c r="X58" s="1196"/>
    </x:row>
    <x:row r="59">
      <x:c r="U59" s="1196"/>
      <x:c r="V59" s="1196"/>
      <x:c r="W59" s="1196"/>
      <x:c r="X59" s="1196"/>
    </x:row>
    <x:row r="60">
      <x:c r="U60" s="1196"/>
      <x:c r="V60" s="1196"/>
      <x:c r="W60" s="1196"/>
      <x:c r="X60" s="1196"/>
    </x:row>
    <x:row r="61">
      <x:c r="U61" s="1196"/>
      <x:c r="V61" s="1196"/>
      <x:c r="W61" s="1196"/>
      <x:c r="X61" s="1196"/>
    </x:row>
    <x:row r="62">
      <x:c r="U62" s="1196"/>
      <x:c r="V62" s="1196"/>
      <x:c r="W62" s="1196"/>
      <x:c r="X62" s="1196"/>
    </x:row>
    <x:row r="63">
      <x:c r="U63" s="1196"/>
      <x:c r="V63" s="1196"/>
      <x:c r="W63" s="1196"/>
      <x:c r="X63" s="1196"/>
    </x:row>
    <x:row r="64">
      <x:c r="U64" s="1196"/>
      <x:c r="V64" s="1196"/>
      <x:c r="W64" s="1196"/>
      <x:c r="X64" s="1196"/>
    </x:row>
    <x:row r="65">
      <x:c r="U65" s="1196"/>
      <x:c r="V65" s="1196"/>
      <x:c r="W65" s="1196"/>
      <x:c r="X65" s="1196"/>
    </x:row>
    <x:row r="66">
      <x:c r="U66" s="1196"/>
      <x:c r="V66" s="1196"/>
      <x:c r="W66" s="1196"/>
      <x:c r="X66" s="1196"/>
    </x:row>
    <x:row r="67">
      <x:c r="U67" s="1196"/>
      <x:c r="V67" s="1196"/>
      <x:c r="W67" s="1196"/>
      <x:c r="X67" s="1196"/>
    </x:row>
    <x:row r="68">
      <x:c r="U68" s="1196"/>
      <x:c r="V68" s="1196"/>
      <x:c r="W68" s="1196"/>
      <x:c r="X68" s="1196"/>
    </x:row>
    <x:row r="69">
      <x:c r="U69" s="1196"/>
      <x:c r="V69" s="1196"/>
      <x:c r="W69" s="1196"/>
      <x:c r="X69" s="1196"/>
    </x:row>
    <x:row r="70">
      <x:c r="U70" s="1196"/>
      <x:c r="V70" s="1196"/>
      <x:c r="W70" s="1196"/>
      <x:c r="X70" s="1196"/>
    </x:row>
    <x:row r="71">
      <x:c r="U71" s="1196"/>
      <x:c r="V71" s="1196"/>
      <x:c r="W71" s="1196"/>
      <x:c r="X71" s="1196"/>
    </x:row>
    <x:row r="72">
      <x:c r="U72" s="1196"/>
      <x:c r="V72" s="1196"/>
      <x:c r="W72" s="1196"/>
      <x:c r="X72" s="1196"/>
    </x:row>
    <x:row r="73">
      <x:c r="U73" s="1196"/>
      <x:c r="V73" s="1196"/>
      <x:c r="W73" s="1196"/>
      <x:c r="X73" s="1196"/>
    </x:row>
    <x:row r="74">
      <x:c r="U74" s="1196"/>
      <x:c r="V74" s="1196"/>
      <x:c r="W74" s="1196"/>
      <x:c r="X74" s="1196"/>
    </x:row>
    <x:row r="75">
      <x:c r="U75" s="1196"/>
      <x:c r="V75" s="1196"/>
      <x:c r="W75" s="1196"/>
      <x:c r="X75" s="1196"/>
    </x:row>
    <x:row r="76">
      <x:c r="U76" s="1196"/>
      <x:c r="V76" s="1196"/>
      <x:c r="W76" s="1196"/>
      <x:c r="X76" s="1196"/>
    </x:row>
    <x:row r="77">
      <x:c r="U77" s="1196"/>
      <x:c r="V77" s="1196"/>
      <x:c r="W77" s="1196"/>
      <x:c r="X77" s="1196"/>
    </x:row>
    <x:row r="78">
      <x:c r="U78" s="1196"/>
      <x:c r="V78" s="1196"/>
      <x:c r="W78" s="1196"/>
      <x:c r="X78" s="1196"/>
    </x:row>
    <x:row r="79">
      <x:c r="U79" s="1196"/>
      <x:c r="V79" s="1196"/>
      <x:c r="W79" s="1196"/>
      <x:c r="X79" s="1196"/>
    </x:row>
    <x:row r="80">
      <x:c r="U80" s="1196"/>
      <x:c r="V80" s="1196"/>
      <x:c r="W80" s="1196"/>
      <x:c r="X80" s="1196"/>
    </x:row>
    <x:row r="81">
      <x:c r="U81" s="1196"/>
      <x:c r="V81" s="1196"/>
      <x:c r="W81" s="1196"/>
      <x:c r="X81" s="1196"/>
    </x:row>
    <x:row r="82">
      <x:c r="U82" s="1196"/>
      <x:c r="V82" s="1196"/>
      <x:c r="W82" s="1196"/>
      <x:c r="X82" s="1196"/>
    </x:row>
    <x:row r="83">
      <x:c r="U83" s="1196"/>
      <x:c r="V83" s="1196"/>
      <x:c r="W83" s="1196"/>
      <x:c r="X83" s="1196"/>
    </x:row>
    <x:row r="84">
      <x:c r="U84" s="1196"/>
      <x:c r="V84" s="1196"/>
      <x:c r="W84" s="1196"/>
      <x:c r="X84" s="1196"/>
    </x:row>
    <x:row r="85">
      <x:c r="U85" s="1196"/>
      <x:c r="V85" s="1196"/>
      <x:c r="W85" s="1196"/>
      <x:c r="X85" s="1196"/>
    </x:row>
    <x:row r="86">
      <x:c r="U86" s="1196"/>
      <x:c r="V86" s="1196"/>
      <x:c r="W86" s="1196"/>
      <x:c r="X86" s="1196"/>
    </x:row>
    <x:row r="87">
      <x:c r="U87" s="1196"/>
      <x:c r="V87" s="1196"/>
      <x:c r="W87" s="1196"/>
      <x:c r="X87" s="1196"/>
    </x:row>
    <x:row r="88">
      <x:c r="U88" s="1196"/>
      <x:c r="V88" s="1196"/>
      <x:c r="W88" s="1196"/>
      <x:c r="X88" s="1196"/>
    </x:row>
    <x:row r="89">
      <x:c r="U89" s="1196"/>
      <x:c r="V89" s="1196"/>
      <x:c r="W89" s="1196"/>
      <x:c r="X89" s="1196"/>
    </x:row>
    <x:row r="90">
      <x:c r="U90" s="1196"/>
      <x:c r="V90" s="1196"/>
      <x:c r="W90" s="1196"/>
      <x:c r="X90" s="1196"/>
    </x:row>
    <x:row r="91">
      <x:c r="U91" s="1196"/>
      <x:c r="V91" s="1196"/>
      <x:c r="W91" s="1196"/>
      <x:c r="X91" s="1196"/>
    </x:row>
    <x:row r="92">
      <x:c r="U92" s="1196"/>
      <x:c r="V92" s="1196"/>
      <x:c r="W92" s="1196"/>
      <x:c r="X92" s="1196"/>
    </x:row>
    <x:row r="93">
      <x:c r="U93" s="1196"/>
      <x:c r="V93" s="1196"/>
      <x:c r="W93" s="1196"/>
      <x:c r="X93" s="1196"/>
    </x:row>
    <x:row r="94">
      <x:c r="U94" s="1196"/>
      <x:c r="V94" s="1196"/>
      <x:c r="W94" s="1196"/>
      <x:c r="X94" s="1196"/>
    </x:row>
    <x:row r="95">
      <x:c r="U95" s="1196"/>
      <x:c r="V95" s="1196"/>
      <x:c r="W95" s="1196"/>
      <x:c r="X95" s="1196"/>
    </x:row>
    <x:row r="96">
      <x:c r="U96" s="1196"/>
      <x:c r="V96" s="1196"/>
      <x:c r="W96" s="1196"/>
      <x:c r="X96" s="1196"/>
    </x:row>
    <x:row r="97">
      <x:c r="U97" s="1196"/>
      <x:c r="V97" s="1196"/>
      <x:c r="W97" s="1196"/>
      <x:c r="X97" s="1196"/>
    </x:row>
    <x:row r="98">
      <x:c r="U98" s="1196"/>
      <x:c r="V98" s="1196"/>
      <x:c r="W98" s="1196"/>
      <x:c r="X98" s="1196"/>
    </x:row>
    <x:row r="99">
      <x:c r="U99" s="1196"/>
      <x:c r="V99" s="1196"/>
      <x:c r="W99" s="1196"/>
      <x:c r="X99" s="1196"/>
    </x:row>
    <x:row r="100">
      <x:c r="U100" s="1196"/>
      <x:c r="V100" s="1196"/>
      <x:c r="W100" s="1196"/>
      <x:c r="X100" s="1196"/>
    </x:row>
    <x:row r="101">
      <x:c r="U101" s="1196"/>
      <x:c r="V101" s="1196"/>
      <x:c r="W101" s="1196"/>
      <x:c r="X101" s="1196"/>
    </x:row>
    <x:row r="102">
      <x:c r="U102" s="1196"/>
      <x:c r="V102" s="1196"/>
      <x:c r="W102" s="1196"/>
      <x:c r="X102" s="1196"/>
    </x:row>
    <x:row r="103">
      <x:c r="U103" s="1196"/>
      <x:c r="V103" s="1196"/>
      <x:c r="W103" s="1196"/>
      <x:c r="X103" s="1196"/>
    </x:row>
    <x:row r="104">
      <x:c r="U104" s="1196"/>
      <x:c r="V104" s="1196"/>
      <x:c r="W104" s="1196"/>
      <x:c r="X104" s="1196"/>
    </x:row>
    <x:row r="105">
      <x:c r="U105" s="1196"/>
      <x:c r="V105" s="1196"/>
      <x:c r="W105" s="1196"/>
      <x:c r="X105" s="1196"/>
    </x:row>
    <x:row r="106">
      <x:c r="U106" s="1196"/>
      <x:c r="V106" s="1196"/>
      <x:c r="W106" s="1196"/>
      <x:c r="X106" s="1196"/>
    </x:row>
    <x:row r="107">
      <x:c r="U107" s="1196"/>
      <x:c r="V107" s="1196"/>
      <x:c r="W107" s="1196"/>
      <x:c r="X107" s="1196"/>
    </x:row>
    <x:row r="108">
      <x:c r="U108" s="1196"/>
      <x:c r="V108" s="1196"/>
      <x:c r="W108" s="1196"/>
      <x:c r="X108" s="1196"/>
    </x:row>
    <x:row r="109">
      <x:c r="U109" s="1196"/>
      <x:c r="V109" s="1196"/>
      <x:c r="W109" s="1196"/>
      <x:c r="X109" s="1196"/>
    </x:row>
    <x:row r="110">
      <x:c r="U110" s="1196"/>
      <x:c r="V110" s="1196"/>
      <x:c r="W110" s="1196"/>
      <x:c r="X110" s="1196"/>
    </x:row>
    <x:row r="111">
      <x:c r="U111" s="1196"/>
      <x:c r="V111" s="1196"/>
      <x:c r="W111" s="1196"/>
      <x:c r="X111" s="1196"/>
    </x:row>
    <x:row r="112">
      <x:c r="U112" s="1196"/>
      <x:c r="V112" s="1196"/>
      <x:c r="W112" s="1196"/>
      <x:c r="X112" s="1196"/>
    </x:row>
    <x:row r="113">
      <x:c r="U113" s="1196"/>
      <x:c r="V113" s="1196"/>
      <x:c r="W113" s="1196"/>
      <x:c r="X113" s="1196"/>
    </x:row>
    <x:row r="114">
      <x:c r="U114" s="1196"/>
      <x:c r="V114" s="1196"/>
      <x:c r="W114" s="1196"/>
      <x:c r="X114" s="1196"/>
    </x:row>
    <x:row r="115">
      <x:c r="U115" s="1196"/>
      <x:c r="V115" s="1196"/>
      <x:c r="W115" s="1196"/>
      <x:c r="X115" s="1196"/>
    </x:row>
    <x:row r="116">
      <x:c r="U116" s="1196"/>
      <x:c r="V116" s="1196"/>
      <x:c r="W116" s="1196"/>
      <x:c r="X116" s="1196"/>
    </x:row>
    <x:row r="117">
      <x:c r="U117" s="1196"/>
      <x:c r="V117" s="1196"/>
      <x:c r="W117" s="1196"/>
      <x:c r="X117" s="1196"/>
    </x:row>
    <x:row r="118">
      <x:c r="U118" s="1196"/>
      <x:c r="V118" s="1196"/>
      <x:c r="W118" s="1196"/>
      <x:c r="X118" s="1196"/>
    </x:row>
    <x:row r="119">
      <x:c r="U119" s="1196"/>
      <x:c r="V119" s="1196"/>
      <x:c r="W119" s="1196"/>
      <x:c r="X119" s="1196"/>
    </x:row>
    <x:row r="120">
      <x:c r="U120" s="1196"/>
      <x:c r="V120" s="1196"/>
      <x:c r="W120" s="1196"/>
      <x:c r="X120" s="1196"/>
    </x:row>
    <x:row r="121">
      <x:c r="U121" s="1196"/>
      <x:c r="V121" s="1196"/>
      <x:c r="W121" s="1196"/>
      <x:c r="X121" s="1196"/>
    </x:row>
    <x:row r="122">
      <x:c r="U122" s="1196"/>
      <x:c r="V122" s="1196"/>
      <x:c r="W122" s="1196"/>
      <x:c r="X122" s="1196"/>
    </x:row>
    <x:row r="123">
      <x:c r="U123" s="1196"/>
      <x:c r="V123" s="1196"/>
      <x:c r="W123" s="1196"/>
      <x:c r="X123" s="1196"/>
    </x:row>
    <x:row r="124">
      <x:c r="U124" s="1196"/>
      <x:c r="V124" s="1196"/>
      <x:c r="W124" s="1196"/>
      <x:c r="X124" s="1196"/>
    </x:row>
    <x:row r="125">
      <x:c r="U125" s="1196"/>
      <x:c r="V125" s="1196"/>
      <x:c r="W125" s="1196"/>
      <x:c r="X125" s="1196"/>
    </x:row>
    <x:row r="126">
      <x:c r="U126" s="1196"/>
      <x:c r="V126" s="1196"/>
      <x:c r="W126" s="1196"/>
      <x:c r="X126" s="1196"/>
    </x:row>
    <x:row r="127">
      <x:c r="U127" s="1196"/>
      <x:c r="V127" s="1196"/>
      <x:c r="W127" s="1196"/>
      <x:c r="X127" s="1196"/>
    </x:row>
    <x:row r="128">
      <x:c r="U128" s="1196"/>
      <x:c r="V128" s="1196"/>
      <x:c r="W128" s="1196"/>
      <x:c r="X128" s="1196"/>
    </x:row>
    <x:row r="129">
      <x:c r="U129" s="1196"/>
      <x:c r="V129" s="1196"/>
      <x:c r="W129" s="1196"/>
      <x:c r="X129" s="1196"/>
    </x:row>
    <x:row r="130">
      <x:c r="U130" s="1196"/>
      <x:c r="V130" s="1196"/>
      <x:c r="W130" s="1196"/>
      <x:c r="X130" s="1196"/>
    </x:row>
    <x:row r="131">
      <x:c r="U131" s="1196"/>
      <x:c r="V131" s="1196"/>
      <x:c r="W131" s="1196"/>
      <x:c r="X131" s="1196"/>
    </x:row>
    <x:row r="132">
      <x:c r="U132" s="1196"/>
      <x:c r="V132" s="1196"/>
      <x:c r="W132" s="1196"/>
      <x:c r="X132" s="1196"/>
    </x:row>
    <x:row r="133">
      <x:c r="U133" s="1196"/>
      <x:c r="V133" s="1196"/>
      <x:c r="W133" s="1196"/>
      <x:c r="X133" s="1196"/>
    </x:row>
    <x:row r="134">
      <x:c r="U134" s="1196"/>
      <x:c r="V134" s="1196"/>
      <x:c r="W134" s="1196"/>
      <x:c r="X134" s="1196"/>
    </x:row>
    <x:row r="135">
      <x:c r="U135" s="1196"/>
      <x:c r="V135" s="1196"/>
      <x:c r="W135" s="1196"/>
      <x:c r="X135" s="1196"/>
    </x:row>
    <x:row r="136">
      <x:c r="U136" s="1196"/>
      <x:c r="V136" s="1196"/>
      <x:c r="W136" s="1196"/>
      <x:c r="X136" s="1196"/>
    </x:row>
    <x:row r="137">
      <x:c r="U137" s="1196"/>
      <x:c r="V137" s="1196"/>
      <x:c r="W137" s="1196"/>
      <x:c r="X137" s="1196"/>
    </x:row>
    <x:row r="138">
      <x:c r="U138" s="1196"/>
      <x:c r="V138" s="1196"/>
      <x:c r="W138" s="1196"/>
      <x:c r="X138" s="1196"/>
    </x:row>
    <x:row r="139">
      <x:c r="U139" s="1196"/>
      <x:c r="V139" s="1196"/>
      <x:c r="W139" s="1196"/>
      <x:c r="X139" s="1196"/>
    </x:row>
    <x:row r="140">
      <x:c r="U140" s="1196"/>
      <x:c r="V140" s="1196"/>
      <x:c r="W140" s="1196"/>
      <x:c r="X140" s="1196"/>
    </x:row>
    <x:row r="141">
      <x:c r="U141" s="1196"/>
      <x:c r="V141" s="1196"/>
      <x:c r="W141" s="1196"/>
      <x:c r="X141" s="1196"/>
    </x:row>
    <x:row r="142">
      <x:c r="U142" s="1196"/>
      <x:c r="V142" s="1196"/>
      <x:c r="W142" s="1196"/>
      <x:c r="X142" s="1196"/>
    </x:row>
    <x:row r="143">
      <x:c r="U143" s="1196"/>
      <x:c r="V143" s="1196"/>
      <x:c r="W143" s="1196"/>
      <x:c r="X143" s="1196"/>
    </x:row>
    <x:row r="144">
      <x:c r="U144" s="1196"/>
      <x:c r="V144" s="1196"/>
      <x:c r="W144" s="1196"/>
      <x:c r="X144" s="1196"/>
    </x:row>
    <x:row r="145">
      <x:c r="U145" s="1196"/>
      <x:c r="V145" s="1196"/>
      <x:c r="W145" s="1196"/>
      <x:c r="X145" s="1196"/>
    </x:row>
    <x:row r="146">
      <x:c r="U146" s="1196"/>
      <x:c r="V146" s="1196"/>
      <x:c r="W146" s="1196"/>
      <x:c r="X146" s="1196"/>
    </x:row>
    <x:row r="147">
      <x:c r="U147" s="1196"/>
      <x:c r="V147" s="1196"/>
      <x:c r="W147" s="1196"/>
      <x:c r="X147" s="1196"/>
    </x:row>
    <x:row r="148">
      <x:c r="U148" s="1196"/>
      <x:c r="V148" s="1196"/>
      <x:c r="W148" s="1196"/>
      <x:c r="X148" s="1196"/>
    </x:row>
    <x:row r="149">
      <x:c r="U149" s="1196"/>
      <x:c r="V149" s="1196"/>
      <x:c r="W149" s="1196"/>
      <x:c r="X149" s="1196"/>
    </x:row>
    <x:row r="150">
      <x:c r="U150" s="1196"/>
      <x:c r="V150" s="1196"/>
      <x:c r="W150" s="1196"/>
      <x:c r="X150" s="1196"/>
    </x:row>
    <x:row r="151">
      <x:c r="U151" s="1196"/>
      <x:c r="V151" s="1196"/>
      <x:c r="W151" s="1196"/>
      <x:c r="X151" s="1196"/>
    </x:row>
    <x:row r="152">
      <x:c r="U152" s="1196"/>
      <x:c r="V152" s="1196"/>
      <x:c r="W152" s="1196"/>
      <x:c r="X152" s="1196"/>
    </x:row>
    <x:row r="153">
      <x:c r="U153" s="1196"/>
      <x:c r="V153" s="1196"/>
      <x:c r="W153" s="1196"/>
      <x:c r="X153" s="1196"/>
    </x:row>
    <x:row r="154">
      <x:c r="U154" s="1196"/>
      <x:c r="V154" s="1196"/>
      <x:c r="W154" s="1196"/>
      <x:c r="X154" s="1196"/>
    </x:row>
    <x:row r="155">
      <x:c r="U155" s="1196"/>
      <x:c r="V155" s="1196"/>
      <x:c r="W155" s="1196"/>
      <x:c r="X155" s="1196"/>
    </x:row>
    <x:row r="156">
      <x:c r="U156" s="1196"/>
      <x:c r="V156" s="1196"/>
      <x:c r="W156" s="1196"/>
      <x:c r="X156" s="1196"/>
    </x:row>
    <x:row r="157">
      <x:c r="U157" s="1196"/>
      <x:c r="V157" s="1196"/>
      <x:c r="W157" s="1196"/>
      <x:c r="X157" s="1196"/>
    </x:row>
    <x:row r="158">
      <x:c r="U158" s="1196"/>
      <x:c r="V158" s="1196"/>
      <x:c r="W158" s="1196"/>
      <x:c r="X158" s="1196"/>
    </x:row>
    <x:row r="159">
      <x:c r="U159" s="1196"/>
      <x:c r="V159" s="1196"/>
      <x:c r="W159" s="1196"/>
      <x:c r="X159" s="1196"/>
    </x:row>
    <x:row r="160">
      <x:c r="U160" s="1196"/>
      <x:c r="V160" s="1196"/>
      <x:c r="W160" s="1196"/>
      <x:c r="X160" s="1196"/>
    </x:row>
    <x:row r="161">
      <x:c r="U161" s="1196"/>
      <x:c r="V161" s="1196"/>
      <x:c r="W161" s="1196"/>
      <x:c r="X161" s="1196"/>
    </x:row>
    <x:row r="162">
      <x:c r="U162" s="1196"/>
      <x:c r="V162" s="1196"/>
      <x:c r="W162" s="1196"/>
      <x:c r="X162" s="1196"/>
    </x:row>
    <x:row r="163">
      <x:c r="U163" s="1196"/>
      <x:c r="V163" s="1196"/>
      <x:c r="W163" s="1196"/>
      <x:c r="X163" s="1196"/>
    </x:row>
    <x:row r="164">
      <x:c r="U164" s="1196"/>
      <x:c r="V164" s="1196"/>
      <x:c r="W164" s="1196"/>
      <x:c r="X164" s="1196"/>
    </x:row>
    <x:row r="165">
      <x:c r="U165" s="1196"/>
      <x:c r="V165" s="1196"/>
      <x:c r="W165" s="1196"/>
      <x:c r="X165" s="1196"/>
    </x:row>
    <x:row r="166">
      <x:c r="U166" s="1196"/>
      <x:c r="V166" s="1196"/>
      <x:c r="W166" s="1196"/>
      <x:c r="X166" s="1196"/>
    </x:row>
    <x:row r="167">
      <x:c r="U167" s="1196"/>
      <x:c r="V167" s="1196"/>
      <x:c r="W167" s="1196"/>
      <x:c r="X167" s="1196"/>
    </x:row>
    <x:row r="168">
      <x:c r="U168" s="1196"/>
      <x:c r="V168" s="1196"/>
      <x:c r="W168" s="1196"/>
      <x:c r="X168" s="1196"/>
    </x:row>
    <x:row r="169">
      <x:c r="U169" s="1196"/>
      <x:c r="V169" s="1196"/>
      <x:c r="W169" s="1196"/>
      <x:c r="X169" s="1196"/>
    </x:row>
    <x:row r="170">
      <x:c r="U170" s="1196"/>
      <x:c r="V170" s="1196"/>
      <x:c r="W170" s="1196"/>
      <x:c r="X170" s="1196"/>
    </x:row>
    <x:row r="171">
      <x:c r="U171" s="1196"/>
      <x:c r="V171" s="1196"/>
      <x:c r="W171" s="1196"/>
      <x:c r="X171" s="1196"/>
    </x:row>
    <x:row r="172">
      <x:c r="U172" s="1196"/>
      <x:c r="V172" s="1196"/>
      <x:c r="W172" s="1196"/>
      <x:c r="X172" s="1196"/>
    </x:row>
    <x:row r="173">
      <x:c r="U173" s="1196"/>
      <x:c r="V173" s="1196"/>
      <x:c r="W173" s="1196"/>
      <x:c r="X173" s="1196"/>
    </x:row>
    <x:row r="174">
      <x:c r="U174" s="1196"/>
      <x:c r="V174" s="1196"/>
      <x:c r="W174" s="1196"/>
      <x:c r="X174" s="1196"/>
    </x:row>
    <x:row r="175">
      <x:c r="U175" s="1196"/>
      <x:c r="V175" s="1196"/>
      <x:c r="W175" s="1196"/>
      <x:c r="X175" s="1196"/>
    </x:row>
    <x:row r="176">
      <x:c r="U176" s="1196"/>
      <x:c r="V176" s="1196"/>
      <x:c r="W176" s="1196"/>
      <x:c r="X176" s="1196"/>
    </x:row>
    <x:row r="177">
      <x:c r="U177" s="1196"/>
      <x:c r="V177" s="1196"/>
      <x:c r="W177" s="1196"/>
      <x:c r="X177" s="1196"/>
    </x:row>
    <x:row r="178">
      <x:c r="U178" s="1196"/>
      <x:c r="V178" s="1196"/>
      <x:c r="W178" s="1196"/>
      <x:c r="X178" s="1196"/>
    </x:row>
    <x:row r="179">
      <x:c r="U179" s="1196"/>
      <x:c r="V179" s="1196"/>
      <x:c r="W179" s="1196"/>
      <x:c r="X179" s="1196"/>
    </x:row>
    <x:row r="180">
      <x:c r="U180" s="1196"/>
      <x:c r="V180" s="1196"/>
      <x:c r="W180" s="1196"/>
      <x:c r="X180" s="1196"/>
    </x:row>
    <x:row r="181">
      <x:c r="U181" s="1196"/>
      <x:c r="V181" s="1196"/>
      <x:c r="W181" s="1196"/>
      <x:c r="X181" s="1196"/>
    </x:row>
    <x:row r="182">
      <x:c r="U182" s="1196"/>
      <x:c r="V182" s="1196"/>
      <x:c r="W182" s="1196"/>
      <x:c r="X182" s="1196"/>
    </x:row>
    <x:row r="183">
      <x:c r="U183" s="1196"/>
      <x:c r="V183" s="1196"/>
      <x:c r="W183" s="1196"/>
      <x:c r="X183" s="1196"/>
    </x:row>
    <x:row r="184">
      <x:c r="U184" s="1196"/>
      <x:c r="V184" s="1196"/>
      <x:c r="W184" s="1196"/>
      <x:c r="X184" s="1196"/>
    </x:row>
    <x:row r="185">
      <x:c r="U185" s="1196"/>
      <x:c r="V185" s="1196"/>
      <x:c r="W185" s="1196"/>
      <x:c r="X185" s="1196"/>
    </x:row>
    <x:row r="186">
      <x:c r="U186" s="1196"/>
      <x:c r="V186" s="1196"/>
      <x:c r="W186" s="1196"/>
      <x:c r="X186" s="1196"/>
    </x:row>
    <x:row r="187">
      <x:c r="U187" s="1196"/>
      <x:c r="V187" s="1196"/>
      <x:c r="W187" s="1196"/>
      <x:c r="X187" s="1196"/>
    </x:row>
    <x:row r="188">
      <x:c r="U188" s="1196"/>
      <x:c r="V188" s="1196"/>
      <x:c r="W188" s="1196"/>
      <x:c r="X188" s="1196"/>
    </x:row>
    <x:row r="189">
      <x:c r="U189" s="1196"/>
      <x:c r="V189" s="1196"/>
      <x:c r="W189" s="1196"/>
      <x:c r="X189" s="1196"/>
    </x:row>
    <x:row r="190">
      <x:c r="U190" s="1196"/>
      <x:c r="V190" s="1196"/>
      <x:c r="W190" s="1196"/>
      <x:c r="X190" s="1196"/>
    </x:row>
    <x:row r="191">
      <x:c r="U191" s="1196"/>
      <x:c r="V191" s="1196"/>
      <x:c r="W191" s="1196"/>
      <x:c r="X191" s="1196"/>
    </x:row>
    <x:row r="192">
      <x:c r="U192" s="1196"/>
      <x:c r="V192" s="1196"/>
      <x:c r="W192" s="1196"/>
      <x:c r="X192" s="1196"/>
    </x:row>
    <x:row r="193">
      <x:c r="U193" s="1196"/>
      <x:c r="V193" s="1196"/>
      <x:c r="W193" s="1196"/>
      <x:c r="X193" s="1196"/>
    </x:row>
    <x:row r="194">
      <x:c r="U194" s="1196"/>
      <x:c r="V194" s="1196"/>
      <x:c r="W194" s="1196"/>
      <x:c r="X194" s="1196"/>
    </x:row>
    <x:row r="195">
      <x:c r="U195" s="1196"/>
      <x:c r="V195" s="1196"/>
      <x:c r="W195" s="1196"/>
      <x:c r="X195" s="1196"/>
    </x:row>
    <x:row r="196">
      <x:c r="U196" s="1196"/>
      <x:c r="V196" s="1196"/>
      <x:c r="W196" s="1196"/>
      <x:c r="X196" s="1196"/>
    </x:row>
    <x:row r="197">
      <x:c r="U197" s="1196"/>
      <x:c r="V197" s="1196"/>
      <x:c r="W197" s="1196"/>
      <x:c r="X197" s="1196"/>
    </x:row>
    <x:row r="198">
      <x:c r="U198" s="1196"/>
      <x:c r="V198" s="1196"/>
      <x:c r="W198" s="1196"/>
      <x:c r="X198" s="1196"/>
    </x:row>
    <x:row r="199">
      <x:c r="U199" s="1196"/>
      <x:c r="V199" s="1196"/>
      <x:c r="W199" s="1196"/>
      <x:c r="X199" s="1196"/>
    </x:row>
    <x:row r="200">
      <x:c r="U200" s="1196"/>
      <x:c r="V200" s="1196"/>
      <x:c r="W200" s="1196"/>
      <x:c r="X200" s="1196"/>
    </x:row>
    <x:row r="201">
      <x:c r="U201" s="1196"/>
      <x:c r="V201" s="1196"/>
      <x:c r="W201" s="1196"/>
      <x:c r="X201" s="1196"/>
    </x:row>
    <x:row r="202">
      <x:c r="U202" s="1196"/>
      <x:c r="V202" s="1196"/>
      <x:c r="W202" s="1196"/>
      <x:c r="X202" s="1196"/>
    </x:row>
    <x:row r="203">
      <x:c r="U203" s="1196"/>
      <x:c r="V203" s="1196"/>
      <x:c r="W203" s="1196"/>
      <x:c r="X203" s="1196"/>
    </x:row>
    <x:row r="204">
      <x:c r="U204" s="1196"/>
      <x:c r="V204" s="1196"/>
      <x:c r="W204" s="1196"/>
      <x:c r="X204" s="1196"/>
    </x:row>
    <x:row r="205">
      <x:c r="U205" s="1196"/>
      <x:c r="V205" s="1196"/>
      <x:c r="W205" s="1196"/>
      <x:c r="X205" s="1196"/>
    </x:row>
    <x:row r="206">
      <x:c r="U206" s="1196"/>
      <x:c r="V206" s="1196"/>
      <x:c r="W206" s="1196"/>
      <x:c r="X206" s="1196"/>
    </x:row>
    <x:row r="207">
      <x:c r="U207" s="1196"/>
      <x:c r="V207" s="1196"/>
      <x:c r="W207" s="1196"/>
      <x:c r="X207" s="1196"/>
    </x:row>
    <x:row r="208">
      <x:c r="U208" s="1196"/>
      <x:c r="V208" s="1196"/>
      <x:c r="W208" s="1196"/>
      <x:c r="X208" s="1196"/>
    </x:row>
    <x:row r="209">
      <x:c r="U209" s="1196"/>
      <x:c r="V209" s="1196"/>
      <x:c r="W209" s="1196"/>
      <x:c r="X209" s="1196"/>
    </x:row>
    <x:row r="210">
      <x:c r="U210" s="1196"/>
      <x:c r="V210" s="1196"/>
      <x:c r="W210" s="1196"/>
      <x:c r="X210" s="1196"/>
    </x:row>
    <x:row r="211">
      <x:c r="U211" s="1196"/>
      <x:c r="V211" s="1196"/>
      <x:c r="W211" s="1196"/>
      <x:c r="X211" s="1196"/>
    </x:row>
    <x:row r="212">
      <x:c r="U212" s="1196"/>
      <x:c r="V212" s="1196"/>
      <x:c r="W212" s="1196"/>
      <x:c r="X212" s="1196"/>
    </x:row>
    <x:row r="213">
      <x:c r="U213" s="1196"/>
      <x:c r="V213" s="1196"/>
      <x:c r="W213" s="1196"/>
      <x:c r="X213" s="1196"/>
    </x:row>
    <x:row r="214">
      <x:c r="U214" s="1196"/>
      <x:c r="V214" s="1196"/>
      <x:c r="W214" s="1196"/>
      <x:c r="X214" s="1196"/>
    </x:row>
    <x:row r="215">
      <x:c r="U215" s="1196"/>
      <x:c r="V215" s="1196"/>
      <x:c r="W215" s="1196"/>
      <x:c r="X215" s="1196"/>
    </x:row>
    <x:row r="216">
      <x:c r="U216" s="1196"/>
      <x:c r="V216" s="1196"/>
      <x:c r="W216" s="1196"/>
      <x:c r="X216" s="1196"/>
    </x:row>
    <x:row r="217">
      <x:c r="U217" s="1196"/>
      <x:c r="V217" s="1196"/>
      <x:c r="W217" s="1196"/>
      <x:c r="X217" s="1196"/>
    </x:row>
    <x:row r="218">
      <x:c r="U218" s="1196"/>
      <x:c r="V218" s="1196"/>
      <x:c r="W218" s="1196"/>
      <x:c r="X218" s="1196"/>
    </x:row>
    <x:row r="219">
      <x:c r="U219" s="1196"/>
      <x:c r="V219" s="1196"/>
      <x:c r="W219" s="1196"/>
      <x:c r="X219" s="1196"/>
    </x:row>
    <x:row r="220">
      <x:c r="U220" s="1196"/>
      <x:c r="V220" s="1196"/>
      <x:c r="W220" s="1196"/>
      <x:c r="X220" s="1196"/>
    </x:row>
  </x:sheetData>
  <x:mergeCells>
    <x:mergeCell ref="A1:L1"/>
    <x:mergeCell ref="A2:L2"/>
    <x:mergeCell ref="A4:L4"/>
    <x:mergeCell ref="A14:L14"/>
    <x:mergeCell ref="A27:L27"/>
    <x:mergeCell ref="A28:L32"/>
    <x:mergeCell ref="U1:X1"/>
    <x:mergeCell ref="V2:X2"/>
    <x:mergeCell ref="V3:X3"/>
    <x:mergeCell ref="V4:X4"/>
    <x:mergeCell ref="V5:X5"/>
    <x:mergeCell ref="V6:X6"/>
    <x:mergeCell ref="V7:X7"/>
  </x:mergeCells>
  <x:pageMargins left="0.7" right="0.7" top="0.75" bottom="0.75" header="0.3" footer="0.3"/>
</x:worksheet>
</file>

<file path=xl/worksheets/sheet25.xml><?xml version="1.0" encoding="utf-8"?>
<x:worksheet xmlns:x="http://schemas.openxmlformats.org/spreadsheetml/2006/main">
  <x:sheetViews>
    <x:sheetView showGridLines="0" workbookViewId="0"/>
  </x:sheetViews>
  <x:sheetFormatPr defaultRowHeight="15"/>
  <x:cols>
    <x:col min="1" max="1" width="24" hidden="0" customWidth="1"/>
    <x:col min="2" max="2" width="44" hidden="0" customWidth="1"/>
    <x:col min="3" max="3" width="18" hidden="0" customWidth="1"/>
    <x:col min="4" max="4" width="18" hidden="0" customWidth="1"/>
    <x:col min="5" max="5" width="16" hidden="0" customWidth="1"/>
    <x:col min="6" max="6" width="24" hidden="0" customWidth="1"/>
    <x:col min="7" max="7" width="22" hidden="0" customWidth="1"/>
    <x:col min="8" max="8" width="34" hidden="0" customWidth="1"/>
    <x:col min="9" max="9" width="18" hidden="0" customWidth="1"/>
    <x:col min="10" max="10" width="30" hidden="0" customWidth="1"/>
    <x:col min="11" max="11" width="30" hidden="0" customWidth="1"/>
    <x:col min="12" max="12" width="46" hidden="0" customWidth="1"/>
    <x:col min="13" max="13" width="46" hidden="0" customWidth="1"/>
    <x:col min="14" max="14" width="30" hidden="0" customWidth="1"/>
    <x:col min="15" max="15" width="22" hidden="0" customWidth="1"/>
    <x:col min="16" max="16" width="14" hidden="0" customWidth="1"/>
  </x:cols>
  <x:sheetData>
    <x:row r="1">
      <x:c r="A1" s="1295" t="str">
        <x:v>Website Data Export — Formula-Linked Financial Metrics</x:v>
      </x:c>
      <x:c r="B1" s="1295"/>
      <x:c r="C1" s="1295"/>
      <x:c r="D1" s="1295"/>
      <x:c r="E1" s="1295"/>
      <x:c r="F1" s="1295"/>
      <x:c r="G1" s="1295"/>
      <x:c r="H1" s="1295"/>
      <x:c r="I1" s="1295"/>
      <x:c r="J1" s="1295"/>
      <x:c r="K1" s="1295"/>
      <x:c r="L1" s="1295"/>
      <x:c r="M1" s="1295"/>
      <x:c r="N1" s="1295"/>
      <x:c r="O1" s="1295"/>
      <x:c r="P1" s="1295"/>
    </x:row>
    <x:row r="2">
      <x:c r="A2" s="1207" t="str">
        <x:v>The Value column links to the controlling workbook formulas. Display value is the current public-format rendering for website export.</x:v>
      </x:c>
      <x:c r="B2" s="1207"/>
      <x:c r="C2" s="1207"/>
      <x:c r="D2" s="1207"/>
      <x:c r="E2" s="1207"/>
      <x:c r="F2" s="1207"/>
      <x:c r="G2" s="1207"/>
      <x:c r="H2" s="1207"/>
      <x:c r="I2" s="1207"/>
      <x:c r="J2" s="1207"/>
      <x:c r="K2" s="1207"/>
      <x:c r="L2" s="1207"/>
      <x:c r="M2" s="1207"/>
      <x:c r="N2" s="1207"/>
      <x:c r="O2" s="1207"/>
      <x:c r="P2" s="1207"/>
    </x:row>
    <x:row r="4">
      <x:c r="A4" s="1407" t="str">
        <x:v>Metric ID</x:v>
      </x:c>
      <x:c r="B4" s="1407" t="str">
        <x:v>Public label</x:v>
      </x:c>
      <x:c r="C4" s="1407" t="str">
        <x:v>Value</x:v>
      </x:c>
      <x:c r="D4" s="1407" t="str">
        <x:v>Display value</x:v>
      </x:c>
      <x:c r="E4" s="1407" t="str">
        <x:v>Unit</x:v>
      </x:c>
      <x:c r="F4" s="1407" t="str">
        <x:v>Period</x:v>
      </x:c>
      <x:c r="G4" s="1407" t="str">
        <x:v>Perspective</x:v>
      </x:c>
      <x:c r="H4" s="1407" t="str">
        <x:v>Scenario</x:v>
      </x:c>
      <x:c r="I4" s="1407" t="str">
        <x:v>Discount rate</x:v>
      </x:c>
      <x:c r="J4" s="1407" t="str">
        <x:v>Evidence status</x:v>
      </x:c>
      <x:c r="K4" s="1407" t="str">
        <x:v>Status</x:v>
      </x:c>
      <x:c r="L4" s="1407" t="str">
        <x:v>One-sentence explanation</x:v>
      </x:c>
      <x:c r="M4" s="1407" t="str">
        <x:v>What it does not mean</x:v>
      </x:c>
      <x:c r="N4" s="1407" t="str">
        <x:v>Source workbook sheet</x:v>
      </x:c>
      <x:c r="O4" s="1407" t="str">
        <x:v>Source cell</x:v>
      </x:c>
      <x:c r="P4" s="1407" t="str">
        <x:v>Last updated</x:v>
      </x:c>
    </x:row>
    <x:row r="5">
      <x:c r="A5" s="26" t="str">
        <x:v>COST_STAGE0</x:v>
      </x:c>
      <x:c r="B5" s="26" t="str">
        <x:v>Stage 0 feasibility and co-design cost</x:v>
      </x:c>
      <x:c r="C5" s="1409" t="n">
        <x:f>'Stage 0 - Year 0'!H54</x:f>
        <x:v>5317875</x:v>
      </x:c>
      <x:c r="D5" s="1410" t="str">
        <x:v>$5.3m</x:v>
      </x:c>
      <x:c r="E5" s="26" t="str">
        <x:v>NZD</x:v>
      </x:c>
      <x:c r="F5" s="26" t="str">
        <x:v>Year 0</x:v>
      </x:c>
      <x:c r="G5" s="26" t="str">
        <x:v>Crown cash</x:v>
      </x:c>
      <x:c r="H5" s="26" t="str">
        <x:v>Stage 0</x:v>
      </x:c>
      <x:c r="I5" s="26" t="str">
        <x:v>Not applicable</x:v>
      </x:c>
      <x:c r="J5" s="1408" t="str">
        <x:v>Planning estimate</x:v>
      </x:c>
      <x:c r="K5" s="1408" t="str">
        <x:v>Immediate decision sought</x:v>
      </x:c>
      <x:c r="L5" s="26" t="str">
        <x:v>Estimated cost of feasibility, co-design, legal, data, evaluation and full business-case development.</x:v>
      </x:c>
      <x:c r="M5" s="26" t="str">
        <x:v>It is not approval or funding for the pilot or national rollout.</x:v>
      </x:c>
      <x:c r="N5" s="26" t="str">
        <x:v>Stage 0 - Year 0</x:v>
      </x:c>
      <x:c r="O5" s="26" t="str">
        <x:v>H54</x:v>
      </x:c>
      <x:c r="P5" s="1297" t="n">
        <x:v>46215</x:v>
      </x:c>
    </x:row>
    <x:row r="6">
      <x:c r="A6" s="26" t="str">
        <x:v>COST_PILOT</x:v>
      </x:c>
      <x:c r="B6" s="26" t="str">
        <x:v>Three-year pilot cost</x:v>
      </x:c>
      <x:c r="C6" s="1409" t="n">
        <x:f>'Stage 1 - Pilot'!E6</x:f>
        <x:v>97579970.263125</x:v>
      </x:c>
      <x:c r="D6" s="1410" t="str">
        <x:v>$97.6m</x:v>
      </x:c>
      <x:c r="E6" s="26" t="str">
        <x:v>NZD</x:v>
      </x:c>
      <x:c r="F6" s="26" t="str">
        <x:v>Three years</x:v>
      </x:c>
      <x:c r="G6" s="26" t="str">
        <x:v>Crown cash</x:v>
      </x:c>
      <x:c r="H6" s="26" t="str">
        <x:v>Targeted pilot</x:v>
      </x:c>
      <x:c r="I6" s="26" t="str">
        <x:v>Not applicable</x:v>
      </x:c>
      <x:c r="J6" s="1408" t="str">
        <x:v>Planning estimate</x:v>
      </x:c>
      <x:c r="K6" s="1408" t="str">
        <x:v>Conditional on Stage 0</x:v>
      </x:c>
      <x:c r="L6" s="26" t="str">
        <x:v>Central estimated cost of the bounded independently evaluated pilot.</x:v>
      </x:c>
      <x:c r="M6" s="26" t="str">
        <x:v>It is not a commitment to national scale.</x:v>
      </x:c>
      <x:c r="N6" s="26" t="str">
        <x:v>Stage 1 - Pilot</x:v>
      </x:c>
      <x:c r="O6" s="26" t="str">
        <x:v>E6</x:v>
      </x:c>
      <x:c r="P6" s="1297" t="n">
        <x:v>46215</x:v>
      </x:c>
    </x:row>
    <x:row r="7">
      <x:c r="A7" s="26" t="str">
        <x:v>COST_CORE_ONLY</x:v>
      </x:c>
      <x:c r="B7" s="26" t="str">
        <x:v>Universal-core-only annual cost</x:v>
      </x:c>
      <x:c r="C7" s="1409" t="n">
        <x:f>'Delivery Scenarios'!G20</x:f>
        <x:v>825136870.3583333</x:v>
      </x:c>
      <x:c r="D7" s="1410" t="str">
        <x:v>$825.1m</x:v>
      </x:c>
      <x:c r="E7" s="26" t="str">
        <x:v>NZD/year</x:v>
      </x:c>
      <x:c r="F7" s="26" t="str">
        <x:v>Mature annual</x:v>
      </x:c>
      <x:c r="G7" s="26" t="str">
        <x:v>Crown cash</x:v>
      </x:c>
      <x:c r="H7" s="26" t="str">
        <x:v>Universal core only</x:v>
      </x:c>
      <x:c r="I7" s="26" t="str">
        <x:v>Not applicable</x:v>
      </x:c>
      <x:c r="J7" s="1372" t="str">
        <x:v>Scenario only</x:v>
      </x:c>
      <x:c r="K7" s="1372" t="str">
        <x:v>Scenario comparator</x:v>
      </x:c>
      <x:c r="L7" s="26" t="str">
        <x:v>Annual cost of the lower-intensity universal core without the targeted accelerator.</x:v>
      </x:c>
      <x:c r="M7" s="26" t="str">
        <x:v>It is not a tested or approved delivery design.</x:v>
      </x:c>
      <x:c r="N7" s="26" t="str">
        <x:v>Delivery Scenarios</x:v>
      </x:c>
      <x:c r="O7" s="26" t="str">
        <x:v>G20</x:v>
      </x:c>
      <x:c r="P7" s="1297" t="n">
        <x:v>46215</x:v>
      </x:c>
    </x:row>
    <x:row r="8">
      <x:c r="A8" s="26" t="str">
        <x:v>COST_CORE_TARGET</x:v>
      </x:c>
      <x:c r="B8" s="26" t="str">
        <x:v>Universal core plus targeted accelerator annual cost</x:v>
      </x:c>
      <x:c r="C8" s="1409" t="n">
        <x:f>'Delivery Scenarios'!G21</x:f>
        <x:v>875015750.3583333</x:v>
      </x:c>
      <x:c r="D8" s="1410" t="str">
        <x:v>$875.0m</x:v>
      </x:c>
      <x:c r="E8" s="26" t="str">
        <x:v>NZD/year</x:v>
      </x:c>
      <x:c r="F8" s="26" t="str">
        <x:v>Mature annual</x:v>
      </x:c>
      <x:c r="G8" s="26" t="str">
        <x:v>Crown cash</x:v>
      </x:c>
      <x:c r="H8" s="26" t="str">
        <x:v>Universal core plus targeted accelerator</x:v>
      </x:c>
      <x:c r="I8" s="26" t="str">
        <x:v>Not applicable</x:v>
      </x:c>
      <x:c r="J8" s="1372" t="str">
        <x:v>Scenario only — retained effect unproven</x:v>
      </x:c>
      <x:c r="K8" s="1372" t="str">
        <x:v>Leading testable structural scenario</x:v>
      </x:c>
      <x:c r="L8" s="26" t="str">
        <x:v>Annual cost of a lower-cost universal core combined with additional targeted support.</x:v>
      </x:c>
      <x:c r="M8" s="26" t="str">
        <x:v>It is not proven or evidence-preferred, and its retained high-risk effect has not been demonstrated.</x:v>
      </x:c>
      <x:c r="N8" s="26" t="str">
        <x:v>Delivery Scenarios</x:v>
      </x:c>
      <x:c r="O8" s="26" t="str">
        <x:v>G21</x:v>
      </x:c>
      <x:c r="P8" s="1297" t="n">
        <x:v>46215</x:v>
      </x:c>
    </x:row>
    <x:row r="9">
      <x:c r="A9" s="26" t="str">
        <x:v>COST_MATURE</x:v>
      </x:c>
      <x:c r="B9" s="26" t="str">
        <x:v>Mature full national annual cost</x:v>
      </x:c>
      <x:c r="C9" s="1409" t="n">
        <x:f>'Stage 2 - National'!K48</x:f>
        <x:v>1526137729.0833335</x:v>
      </x:c>
      <x:c r="D9" s="1410" t="str">
        <x:v>$1.526b</x:v>
      </x:c>
      <x:c r="E9" s="26" t="str">
        <x:v>NZD/year</x:v>
      </x:c>
      <x:c r="F9" s="26" t="str">
        <x:v>Mature annual</x:v>
      </x:c>
      <x:c r="G9" s="26" t="str">
        <x:v>Crown cash</x:v>
      </x:c>
      <x:c r="H9" s="26" t="str">
        <x:v>Mature national design</x:v>
      </x:c>
      <x:c r="I9" s="26" t="str">
        <x:v>Not applicable</x:v>
      </x:c>
      <x:c r="J9" s="1408" t="str">
        <x:v>Planning model</x:v>
      </x:c>
      <x:c r="K9" s="1408" t="str">
        <x:v>Planning comparator only</x:v>
      </x:c>
      <x:c r="L9" s="26" t="str">
        <x:v>Central mature annual cost of the full national architecture.</x:v>
      </x:c>
      <x:c r="M9" s="26" t="str">
        <x:v>It is not the immediate funding request or evidence that national rollout is affordable.</x:v>
      </x:c>
      <x:c r="N9" s="26" t="str">
        <x:v>Stage 2 - National</x:v>
      </x:c>
      <x:c r="O9" s="26" t="str">
        <x:v>K48</x:v>
      </x:c>
      <x:c r="P9" s="1297" t="n">
        <x:v>46215</x:v>
      </x:c>
    </x:row>
    <x:row r="10">
      <x:c r="A10" s="26" t="str">
        <x:v>COHORT_ANNUAL</x:v>
      </x:c>
      <x:c r="B10" s="26" t="str">
        <x:v>Annual eligible cohort</x:v>
      </x:c>
      <x:c r="C10" s="1411" t="n">
        <x:f>'Human Capital &amp; Earnings'!B29</x:f>
        <x:v>62348.6</x:v>
      </x:c>
      <x:c r="D10" s="1410" t="str">
        <x:v>62,349</x:v>
      </x:c>
      <x:c r="E10" s="26" t="str">
        <x:v>people</x:v>
      </x:c>
      <x:c r="F10" s="26" t="str">
        <x:v>Annual cohort</x:v>
      </x:c>
      <x:c r="G10" s="26" t="str">
        <x:v>Population</x:v>
      </x:c>
      <x:c r="H10" s="26" t="str">
        <x:v>Mature national design</x:v>
      </x:c>
      <x:c r="I10" s="26" t="str">
        <x:v>Not applicable</x:v>
      </x:c>
      <x:c r="J10" s="1408" t="str">
        <x:v>Modelled cohort alignment</x:v>
      </x:c>
      <x:c r="K10" s="1408" t="str">
        <x:v>Neutral</x:v>
      </x:c>
      <x:c r="L10" s="26" t="str">
        <x:v>One annual entrant or exit cohort aligned with one mature annual programme cost.</x:v>
      </x:c>
      <x:c r="M10" s="26" t="str">
        <x:v>It is not the five-year active student stock.</x:v>
      </x:c>
      <x:c r="N10" s="26" t="str">
        <x:v>Human Capital &amp; Earnings</x:v>
      </x:c>
      <x:c r="O10" s="26" t="str">
        <x:v>B29</x:v>
      </x:c>
      <x:c r="P10" s="1297" t="n">
        <x:v>46215</x:v>
      </x:c>
    </x:row>
    <x:row r="11">
      <x:c r="A11" s="26" t="str">
        <x:v>NEET_AVERTED</x:v>
      </x:c>
      <x:c r="B11" s="26" t="str">
        <x:v>Separately modelled averted sustained cases of not in employment, education or training (NEET)</x:v>
      </x:c>
      <x:c r="C11" s="1411" t="n">
        <x:f>'Benefits &amp; BCR'!C18</x:f>
        <x:v>1402.8434999999997</x:v>
      </x:c>
      <x:c r="D11" s="1410" t="str">
        <x:v>1,403</x:v>
      </x:c>
      <x:c r="E11" s="26" t="str">
        <x:v>people</x:v>
      </x:c>
      <x:c r="F11" s="26" t="str">
        <x:v>Annual cohort</x:v>
      </x:c>
      <x:c r="G11" s="26" t="str">
        <x:v>National social</x:v>
      </x:c>
      <x:c r="H11" s="26" t="str">
        <x:v>Mature national design</x:v>
      </x:c>
      <x:c r="I11" s="26" t="str">
        <x:v>Not applicable</x:v>
      </x:c>
      <x:c r="J11" s="1408" t="str">
        <x:v>Modelled sensitivity</x:v>
      </x:c>
      <x:c r="K11" s="1372" t="str">
        <x:v>Scenario — not demonstrated</x:v>
      </x:c>
      <x:c r="L11" s="26" t="str">
        <x:v>High-risk sustained-NEET cases are modelled separately from the broad whole-cohort earnings pathway.</x:v>
      </x:c>
      <x:c r="M11" s="26" t="str">
        <x:v>It is not a measured programme outcome or the full number of young people who may benefit.</x:v>
      </x:c>
      <x:c r="N11" s="26" t="str">
        <x:v>Benefits &amp; BCR</x:v>
      </x:c>
      <x:c r="O11" s="26" t="str">
        <x:v>C18</x:v>
      </x:c>
      <x:c r="P11" s="1297" t="n">
        <x:v>46215</x:v>
      </x:c>
    </x:row>
    <x:row r="12">
      <x:c r="A12" s="26" t="str">
        <x:v>EARN_UPLIFT_1</x:v>
      </x:c>
      <x:c r="B12" s="26" t="str">
        <x:v>Affected-population earnings uplift example</x:v>
      </x:c>
      <x:c r="C12" s="1412" t="n">
        <x:f>'Human Capital &amp; Earnings'!A99</x:f>
        <x:v>0.01</x:v>
      </x:c>
      <x:c r="D12" s="1410" t="str">
        <x:v>1.0%</x:v>
      </x:c>
      <x:c r="E12" s="26" t="str">
        <x:v>%</x:v>
      </x:c>
      <x:c r="F12" s="26" t="str">
        <x:v>Working-life sensitivity</x:v>
      </x:c>
      <x:c r="G12" s="26" t="str">
        <x:v>National social</x:v>
      </x:c>
      <x:c r="H12" s="26" t="str">
        <x:v>Mature national design</x:v>
      </x:c>
      <x:c r="I12" s="26" t="str">
        <x:v>2% social / 4% fiscal views</x:v>
      </x:c>
      <x:c r="J12" s="1408" t="str">
        <x:v>Sensitivity only</x:v>
      </x:c>
      <x:c r="K12" s="1372" t="str">
        <x:v>Scenario — not forecast</x:v>
      </x:c>
      <x:c r="L12" s="26" t="str">
        <x:v>A one-percent earnings uplift applied only to the effective affected employed population.</x:v>
      </x:c>
      <x:c r="M12" s="26" t="str">
        <x:v>It does not apply uniformly to every student.</x:v>
      </x:c>
      <x:c r="N12" s="26" t="str">
        <x:v>Human Capital &amp; Earnings</x:v>
      </x:c>
      <x:c r="O12" s="26" t="str">
        <x:v>A99</x:v>
      </x:c>
      <x:c r="P12" s="1297" t="n">
        <x:v>46215</x:v>
      </x:c>
    </x:row>
    <x:row r="13">
      <x:c r="A13" s="26" t="str">
        <x:v>COHORT_EQUIV_1</x:v>
      </x:c>
      <x:c r="B13" s="26" t="str">
        <x:v>Full-cohort equivalent of the 1% affected-population uplift</x:v>
      </x:c>
      <x:c r="C13" s="1412" t="n">
        <x:f>'Human Capital &amp; Earnings'!D141</x:f>
        <x:v>0.0016197077249999999</x:v>
      </x:c>
      <x:c r="D13" s="1410" t="str">
        <x:v>0.162%</x:v>
      </x:c>
      <x:c r="E13" s="26" t="str">
        <x:v>%</x:v>
      </x:c>
      <x:c r="F13" s="26" t="str">
        <x:v>Annual cohort equivalent</x:v>
      </x:c>
      <x:c r="G13" s="26" t="str">
        <x:v>Public explanation</x:v>
      </x:c>
      <x:c r="H13" s="26" t="str">
        <x:v>Mature national design</x:v>
      </x:c>
      <x:c r="I13" s="26" t="str">
        <x:v>Not applicable</x:v>
      </x:c>
      <x:c r="J13" s="1408" t="str">
        <x:v>Calculated equivalent</x:v>
      </x:c>
      <x:c r="K13" s="1408" t="str">
        <x:v>Neutral explanation</x:v>
      </x:c>
      <x:c r="L13" s="26" t="str">
        <x:v>The same total modelled earnings value expressed as an average across the full annual eligible cohort.</x:v>
      </x:c>
      <x:c r="M13" s="26" t="str">
        <x:v>It is not a measured uniform effect for every student and is not an additional benefit.</x:v>
      </x:c>
      <x:c r="N13" s="26" t="str">
        <x:v>Human Capital &amp; Earnings</x:v>
      </x:c>
      <x:c r="O13" s="26" t="str">
        <x:v>D141</x:v>
      </x:c>
      <x:c r="P13" s="1297" t="n">
        <x:v>46215</x:v>
      </x:c>
    </x:row>
    <x:row r="14">
      <x:c r="A14" s="26" t="str">
        <x:v>EARNINGS_PV_1</x:v>
      </x:c>
      <x:c r="B14" s="26" t="str">
        <x:v>Lifetime earnings present value at the 1% sensitivity</x:v>
      </x:c>
      <x:c r="C14" s="1409" t="n">
        <x:f>'Human Capital &amp; Earnings'!C99</x:f>
        <x:v>196036293.8565092</x:v>
      </x:c>
      <x:c r="D14" s="1410" t="str">
        <x:v>$196.0m</x:v>
      </x:c>
      <x:c r="E14" s="26" t="str">
        <x:v>NZD PV</x:v>
      </x:c>
      <x:c r="F14" s="26" t="str">
        <x:v>Working life</x:v>
      </x:c>
      <x:c r="G14" s="26" t="str">
        <x:v>National social</x:v>
      </x:c>
      <x:c r="H14" s="26" t="str">
        <x:v>Mature national design</x:v>
      </x:c>
      <x:c r="I14" s="26" t="str">
        <x:v>2%</x:v>
      </x:c>
      <x:c r="J14" s="1408" t="str">
        <x:v>Sensitivity only</x:v>
      </x:c>
      <x:c r="K14" s="1372" t="str">
        <x:v>Scenario — not forecast</x:v>
      </x:c>
      <x:c r="L14" s="26" t="str">
        <x:v>Present value of the modelled lifetime earnings uplift for the effective affected employed population.</x:v>
      </x:c>
      <x:c r="M14" s="26" t="str">
        <x:v>It is not Crown cash revenue or a demonstrated programme outcome.</x:v>
      </x:c>
      <x:c r="N14" s="26" t="str">
        <x:v>Human Capital &amp; Earnings</x:v>
      </x:c>
      <x:c r="O14" s="26" t="str">
        <x:v>C99</x:v>
      </x:c>
      <x:c r="P14" s="1297" t="n">
        <x:v>46215</x:v>
      </x:c>
    </x:row>
    <x:row r="15">
      <x:c r="A15" s="26" t="str">
        <x:v>BCR_FULL_1</x:v>
      </x:c>
      <x:c r="B15" s="26" t="str">
        <x:v>Full-expenditure social-investment BCR at the 1% sensitivity</x:v>
      </x:c>
      <x:c r="C15" s="1389" t="n">
        <x:f>'Human Capital &amp; Earnings'!J99</x:f>
        <x:v>0.3817901563689555</x:v>
      </x:c>
      <x:c r="D15" s="1413" t="str">
        <x:v>0.382x</x:v>
      </x:c>
      <x:c r="E15" s="26" t="str">
        <x:v>x</x:v>
      </x:c>
      <x:c r="F15" s="26" t="str">
        <x:v>Lifetime PV versus aligned annual cost</x:v>
      </x:c>
      <x:c r="G15" s="26" t="str">
        <x:v>National social</x:v>
      </x:c>
      <x:c r="H15" s="26" t="str">
        <x:v>Mature national design</x:v>
      </x:c>
      <x:c r="I15" s="26" t="str">
        <x:v>2%</x:v>
      </x:c>
      <x:c r="J15" s="1408" t="str">
        <x:v>Sensitivity only</x:v>
      </x:c>
      <x:c r="K15" s="1392" t="str">
        <x:v>Below 1.00x — principal public BCR</x:v>
      </x:c>
      <x:c r="L15" s="26" t="str">
        <x:v>Principal public value-for-money result: included national benefits divided by the full mature annual public expenditure envelope.</x:v>
      </x:c>
      <x:c r="M15" s="26" t="str">
        <x:v>It is not Crown fiscal recovery or a guaranteed investment return.</x:v>
      </x:c>
      <x:c r="N15" s="26" t="str">
        <x:v>Human Capital &amp; Earnings</x:v>
      </x:c>
      <x:c r="O15" s="26" t="str">
        <x:v>J99</x:v>
      </x:c>
      <x:c r="P15" s="1297" t="n">
        <x:v>46215</x:v>
      </x:c>
    </x:row>
    <x:row r="16">
      <x:c r="A16" s="26" t="str">
        <x:v>BCR_TRANSFER_1</x:v>
      </x:c>
      <x:c r="B16" s="26" t="str">
        <x:v>Provisional alternative economic treatment of participant transfers — not Treasury-confirmed</x:v>
      </x:c>
      <x:c r="C16" s="1390" t="n">
        <x:f>'Human Capital &amp; Earnings'!O99</x:f>
        <x:v>1.8775030857228854</x:v>
      </x:c>
      <x:c r="D16" s="1414" t="str">
        <x:v>Technical calculation only</x:v>
      </x:c>
      <x:c r="E16" s="26" t="str">
        <x:v>x</x:v>
      </x:c>
      <x:c r="F16" s="26" t="str">
        <x:v>Lifetime PV versus provisional resource cost</x:v>
      </x:c>
      <x:c r="G16" s="26" t="str">
        <x:v>Technical national economic sensitivity</x:v>
      </x:c>
      <x:c r="H16" s="26" t="str">
        <x:v>Mature national design — technical only</x:v>
      </x:c>
      <x:c r="I16" s="26" t="str">
        <x:v>2%</x:v>
      </x:c>
      <x:c r="J16" s="1372" t="str">
        <x:v>Provisional methodology — Treasury confirmation required</x:v>
      </x:c>
      <x:c r="K16" s="1372" t="str">
        <x:v>Provisional methodology — Treasury confirmation required</x:v>
      </x:c>
      <x:c r="L16" s="26" t="str">
        <x:v>An alternative economic treatment of participant transfers may produce a materially different result, but that methodology requires Treasury or independent economic confirmation and is not used as the principal public value-for-money result.</x:v>
      </x:c>
      <x:c r="M16" s="26" t="str">
        <x:v>This calculation removes the cash-transfer component of participant payments from the national resource-cost denominator. It does not yet incorporate a validated marginal cost of public funds, deadweight cost of taxation or complete behavioural treatment. It must not be treated as a Treasury-endorsed BCR.</x:v>
      </x:c>
      <x:c r="N16" s="26" t="str">
        <x:v>Human Capital &amp; Earnings</x:v>
      </x:c>
      <x:c r="O16" s="26" t="str">
        <x:v>O99</x:v>
      </x:c>
      <x:c r="P16" s="1297" t="n">
        <x:v>46215</x:v>
      </x:c>
    </x:row>
    <x:row r="17">
      <x:c r="A17" s="26" t="str">
        <x:v>ROI_SOCIAL_1</x:v>
      </x:c>
      <x:c r="B17" s="26" t="str">
        <x:v>Conventional net social ROI at the 1% sensitivity</x:v>
      </x:c>
      <x:c r="C17" s="1415" t="n">
        <x:f>'Human Capital &amp; Earnings'!J99-1</x:f>
        <x:v>-0.6182098436310445</x:v>
      </x:c>
      <x:c r="D17" s="1413" t="str">
        <x:v>-61.8%</x:v>
      </x:c>
      <x:c r="E17" s="26" t="str">
        <x:v>%</x:v>
      </x:c>
      <x:c r="F17" s="26" t="str">
        <x:v>Lifetime PV versus aligned annual cost</x:v>
      </x:c>
      <x:c r="G17" s="26" t="str">
        <x:v>National social</x:v>
      </x:c>
      <x:c r="H17" s="26" t="str">
        <x:v>Mature national design</x:v>
      </x:c>
      <x:c r="I17" s="26" t="str">
        <x:v>2%</x:v>
      </x:c>
      <x:c r="J17" s="1408" t="str">
        <x:v>Derived from full-expenditure BCR</x:v>
      </x:c>
      <x:c r="K17" s="1392" t="str">
        <x:v>Negative</x:v>
      </x:c>
      <x:c r="L17" s="26" t="str">
        <x:v>Full-expenditure social BCR minus one, expressed as a percentage.</x:v>
      </x:c>
      <x:c r="M17" s="26" t="str">
        <x:v>It is not Government profit, cash yield or participant investment return.</x:v>
      </x:c>
      <x:c r="N17" s="26" t="str">
        <x:v>Human Capital &amp; Earnings</x:v>
      </x:c>
      <x:c r="O17" s="26" t="str">
        <x:v>J99 − 1</x:v>
      </x:c>
      <x:c r="P17" s="1297" t="n">
        <x:v>46215</x:v>
      </x:c>
    </x:row>
    <x:row r="18">
      <x:c r="A18" s="26" t="str">
        <x:v>FISCAL_COVERAGE_1</x:v>
      </x:c>
      <x:c r="B18" s="26" t="str">
        <x:v>Crown fiscal coverage at the 1% sensitivity — 2% lead case</x:v>
      </x:c>
      <x:c r="C18" s="1415" t="n">
        <x:f>('Human Capital &amp; Earnings'!$E$116+'Human Capital &amp; Earnings'!$H$116+'Human Capital &amp; Earnings'!$I$116+'Delivery Scenarios'!$K$23)/'Human Capital &amp; Earnings'!$C$116</x:f>
        <x:v>0.15307249872414824</x:v>
      </x:c>
      <x:c r="D18" s="1413" t="str">
        <x:v>15.3%</x:v>
      </x:c>
      <x:c r="E18" s="26" t="str">
        <x:v>%</x:v>
      </x:c>
      <x:c r="F18" s="26" t="str">
        <x:v>Lifetime PV versus aligned expenditure</x:v>
      </x:c>
      <x:c r="G18" s="26" t="str">
        <x:v>Crown fiscal</x:v>
      </x:c>
      <x:c r="H18" s="26" t="str">
        <x:v>Mature national design</x:v>
      </x:c>
      <x:c r="I18" s="26" t="str">
        <x:v>2% Treasury-aligned lead case</x:v>
      </x:c>
      <x:c r="J18" s="1408" t="str">
        <x:v>Sensitivity only</x:v>
      </x:c>
      <x:c r="K18" s="1392" t="str">
        <x:v>Below 100%</x:v>
      </x:c>
      <x:c r="L18" s="26" t="str">
        <x:v>Valid Crown tax, ACC, benefit and student-loan offsets divided by full Crown expenditure using the 2% lead present-value case.</x:v>
      </x:c>
      <x:c r="M18" s="26" t="str">
        <x:v>It does not measure all participant or national social value.</x:v>
      </x:c>
      <x:c r="N18" s="26" t="str">
        <x:v>Human Capital &amp; Earnings</x:v>
      </x:c>
      <x:c r="O18" s="26" t="str">
        <x:v>(E116 + H116 + I116 + committed funding) ÷ C116</x:v>
      </x:c>
      <x:c r="P18" s="1297" t="n">
        <x:v>46215</x:v>
      </x:c>
    </x:row>
    <x:row r="19">
      <x:c r="A19" s="26" t="str">
        <x:v>ROI_FISCAL_1</x:v>
      </x:c>
      <x:c r="B19" s="26" t="str">
        <x:v>Conventional net Crown fiscal ROI at the 1% sensitivity — 2% lead case</x:v>
      </x:c>
      <x:c r="C19" s="1415" t="n">
        <x:f>('Human Capital &amp; Earnings'!$E$116+'Human Capital &amp; Earnings'!$H$116+'Human Capital &amp; Earnings'!$I$116+'Delivery Scenarios'!$K$23)/'Human Capital &amp; Earnings'!$C$116-1</x:f>
        <x:v>-0.8469275012758517</x:v>
      </x:c>
      <x:c r="D19" s="1413" t="str">
        <x:v>-84.7%</x:v>
      </x:c>
      <x:c r="E19" s="26" t="str">
        <x:v>%</x:v>
      </x:c>
      <x:c r="F19" s="26" t="str">
        <x:v>Lifetime PV versus aligned expenditure</x:v>
      </x:c>
      <x:c r="G19" s="26" t="str">
        <x:v>Crown fiscal</x:v>
      </x:c>
      <x:c r="H19" s="26" t="str">
        <x:v>Mature national design</x:v>
      </x:c>
      <x:c r="I19" s="26" t="str">
        <x:v>2% Treasury-aligned lead case</x:v>
      </x:c>
      <x:c r="J19" s="1408" t="str">
        <x:v>Derived from 2% fiscal coverage</x:v>
      </x:c>
      <x:c r="K19" s="1392" t="str">
        <x:v>Negative</x:v>
      </x:c>
      <x:c r="L19" s="26" t="str">
        <x:v>Crown fiscal coverage at 2% minus one, expressed as a percentage.</x:v>
      </x:c>
      <x:c r="M19" s="26" t="str">
        <x:v>It is not the national social return or Government profit.</x:v>
      </x:c>
      <x:c r="N19" s="26" t="str">
        <x:v>Human Capital &amp; Earnings</x:v>
      </x:c>
      <x:c r="O19" s="26" t="str">
        <x:v>2% Crown fiscal coverage − 1</x:v>
      </x:c>
      <x:c r="P19" s="1297" t="n">
        <x:v>46215</x:v>
      </x:c>
    </x:row>
    <x:row r="20">
      <x:c r="A20" s="26" t="str">
        <x:v>NET_FISCAL_COST_1</x:v>
      </x:c>
      <x:c r="B20" s="26" t="str">
        <x:v>Net Crown fiscal cost at the 1% sensitivity — 2% lead case</x:v>
      </x:c>
      <x:c r="C20" s="1395" t="n">
        <x:f>'Human Capital &amp; Earnings'!$C$116-('Human Capital &amp; Earnings'!$E$116+'Human Capital &amp; Earnings'!$H$116+'Human Capital &amp; Earnings'!$I$116+'Delivery Scenarios'!$K$23)</x:f>
        <x:v>1292528013.4953504</x:v>
      </x:c>
      <x:c r="D20" s="1413" t="str">
        <x:v>$1.293b</x:v>
      </x:c>
      <x:c r="E20" s="26" t="str">
        <x:v>NZD</x:v>
      </x:c>
      <x:c r="F20" s="26" t="str">
        <x:v>Aligned annual cohort</x:v>
      </x:c>
      <x:c r="G20" s="26" t="str">
        <x:v>Crown fiscal</x:v>
      </x:c>
      <x:c r="H20" s="26" t="str">
        <x:v>Mature national design</x:v>
      </x:c>
      <x:c r="I20" s="26" t="str">
        <x:v>2% Treasury-aligned lead case</x:v>
      </x:c>
      <x:c r="J20" s="1408" t="str">
        <x:v>Sensitivity only</x:v>
      </x:c>
      <x:c r="K20" s="1392" t="str">
        <x:v>Net fiscal loss</x:v>
      </x:c>
      <x:c r="L20" s="26" t="str">
        <x:v>Full mature annual expenditure less valid Crown fiscal offsets using the 2% lead present-value case.</x:v>
      </x:c>
      <x:c r="M20" s="26" t="str">
        <x:v>It does not subtract participant or social benefits that do not become Crown cash.</x:v>
      </x:c>
      <x:c r="N20" s="26" t="str">
        <x:v>Human Capital &amp; Earnings</x:v>
      </x:c>
      <x:c r="O20" s="26" t="str">
        <x:v>C116 − (E116 + H116 + I116 + committed funding)</x:v>
      </x:c>
      <x:c r="P20" s="1297" t="n">
        <x:v>46215</x:v>
      </x:c>
    </x:row>
    <x:row r="21">
      <x:c r="A21" s="26" t="str">
        <x:v>BREAK_EVEN_SOCIAL_MATURE</x:v>
      </x:c>
      <x:c r="B21" s="26" t="str">
        <x:v>Mature full-expenditure social break-even earnings uplift</x:v>
      </x:c>
      <x:c r="C21" s="1416" t="n">
        <x:f>'Human Capital &amp; Earnings'!J116</x:f>
        <x:v>0.058127484370145754</x:v>
      </x:c>
      <x:c r="D21" s="1414" t="str">
        <x:v>5.8%</x:v>
      </x:c>
      <x:c r="E21" s="26" t="str">
        <x:v>%</x:v>
      </x:c>
      <x:c r="F21" s="26" t="str">
        <x:v>Working-life sensitivity</x:v>
      </x:c>
      <x:c r="G21" s="26" t="str">
        <x:v>National social</x:v>
      </x:c>
      <x:c r="H21" s="26" t="str">
        <x:v>Mature national design</x:v>
      </x:c>
      <x:c r="I21" s="26" t="str">
        <x:v>2%</x:v>
      </x:c>
      <x:c r="J21" s="1408" t="str">
        <x:v>Reverse-calculated sensitivity</x:v>
      </x:c>
      <x:c r="K21" s="1372" t="str">
        <x:v>Evidence hurdle</x:v>
      </x:c>
      <x:c r="L21" s="26" t="str">
        <x:v>Affected-population earnings uplift required for the mature full-expenditure BCR to reach 1.00x.</x:v>
      </x:c>
      <x:c r="M21" s="26" t="str">
        <x:v>It is not a forecast or a full-cohort percentage.</x:v>
      </x:c>
      <x:c r="N21" s="26" t="str">
        <x:v>Human Capital &amp; Earnings</x:v>
      </x:c>
      <x:c r="O21" s="26" t="str">
        <x:v>J116</x:v>
      </x:c>
      <x:c r="P21" s="1297" t="n">
        <x:v>46215</x:v>
      </x:c>
    </x:row>
    <x:row r="22">
      <x:c r="A22" s="26" t="str">
        <x:v>BREAK_EVEN_CROWN_MATURE</x:v>
      </x:c>
      <x:c r="B22" s="26" t="str">
        <x:v>Mature Crown fiscal break-even earnings uplift — 2% lead case</x:v>
      </x:c>
      <x:c r="C22" s="1416" t="n">
        <x:f>'Human Capital &amp; Earnings'!K116</x:f>
        <x:v>0.21211870542530076</x:v>
      </x:c>
      <x:c r="D22" s="1414" t="str">
        <x:v>21.2%</x:v>
      </x:c>
      <x:c r="E22" s="26" t="str">
        <x:v>%</x:v>
      </x:c>
      <x:c r="F22" s="26" t="str">
        <x:v>Working-life sensitivity</x:v>
      </x:c>
      <x:c r="G22" s="26" t="str">
        <x:v>Crown fiscal</x:v>
      </x:c>
      <x:c r="H22" s="26" t="str">
        <x:v>Mature national design</x:v>
      </x:c>
      <x:c r="I22" s="26" t="str">
        <x:v>2% Treasury-aligned lead case</x:v>
      </x:c>
      <x:c r="J22" s="1408" t="str">
        <x:v>Reverse-calculated sensitivity</x:v>
      </x:c>
      <x:c r="K22" s="1372" t="str">
        <x:v>Evidence hurdle</x:v>
      </x:c>
      <x:c r="L22" s="26" t="str">
        <x:v>Affected-population earnings uplift required for Crown fiscal coverage to reach 100% under the 2% lead case.</x:v>
      </x:c>
      <x:c r="M22" s="26" t="str">
        <x:v>It is not the social break-even threshold or a forecast.</x:v>
      </x:c>
      <x:c r="N22" s="26" t="str">
        <x:v>Human Capital &amp; Earnings</x:v>
      </x:c>
      <x:c r="O22" s="26" t="str">
        <x:v>K116</x:v>
      </x:c>
      <x:c r="P22" s="1297" t="n">
        <x:v>46215</x:v>
      </x:c>
    </x:row>
    <x:row r="23">
      <x:c r="A23" s="26" t="str">
        <x:v>FISCAL_COVERAGE_4_TECH</x:v>
      </x:c>
      <x:c r="B23" s="26" t="str">
        <x:v>Crown fiscal coverage — 4% intermediate sensitivity</x:v>
      </x:c>
      <x:c r="C23" s="1412" t="n">
        <x:f>'Human Capital &amp; Earnings'!M99</x:f>
        <x:v>0.13913014189776074</x:v>
      </x:c>
      <x:c r="D23" s="1410" t="str">
        <x:v>13.9%</x:v>
      </x:c>
      <x:c r="E23" s="26" t="str">
        <x:v>%</x:v>
      </x:c>
      <x:c r="F23" s="26" t="str">
        <x:v>Lifetime PV versus aligned expenditure</x:v>
      </x:c>
      <x:c r="G23" s="26" t="str">
        <x:v>Crown fiscal technical sensitivity</x:v>
      </x:c>
      <x:c r="H23" s="26" t="str">
        <x:v>Mature national design</x:v>
      </x:c>
      <x:c r="I23" s="26" t="str">
        <x:v>4% intermediate sensitivity</x:v>
      </x:c>
      <x:c r="J23" s="1372" t="str">
        <x:v>Technical sensitivity</x:v>
      </x:c>
      <x:c r="K23" s="1392" t="str">
        <x:v>Intermediate sensitivity — below 100%</x:v>
      </x:c>
      <x:c r="L23" s="26" t="str">
        <x:v>Crown fiscal coverage recalculated using the 4% intermediate analytical sensitivity.</x:v>
      </x:c>
      <x:c r="M23" s="26" t="str">
        <x:v>It is not the principal public Crown fiscal result.</x:v>
      </x:c>
      <x:c r="N23" s="26" t="str">
        <x:v>Human Capital &amp; Earnings</x:v>
      </x:c>
      <x:c r="O23" s="26" t="str">
        <x:v>M99</x:v>
      </x:c>
      <x:c r="P23" s="1297" t="n">
        <x:v>46215</x:v>
      </x:c>
    </x:row>
    <x:row r="24">
      <x:c r="A24" s="26" t="str">
        <x:v>FISCAL_COVERAGE_8_TECH</x:v>
      </x:c>
      <x:c r="B24" s="26" t="str">
        <x:v>Crown fiscal coverage — 8% high sensitivity</x:v>
      </x:c>
      <x:c r="C24" s="1412" t="n">
        <x:f>('Human Capital &amp; Earnings'!$E$118+'Human Capital &amp; Earnings'!$H$118+'Human Capital &amp; Earnings'!$I$118+'Delivery Scenarios'!$K$23)/'Human Capital &amp; Earnings'!$C$118</x:f>
        <x:v>0.1257397099577856</x:v>
      </x:c>
      <x:c r="D24" s="1410" t="str">
        <x:v>12.6%</x:v>
      </x:c>
      <x:c r="E24" s="26" t="str">
        <x:v>%</x:v>
      </x:c>
      <x:c r="F24" s="26" t="str">
        <x:v>Lifetime PV versus aligned expenditure</x:v>
      </x:c>
      <x:c r="G24" s="26" t="str">
        <x:v>Crown fiscal technical sensitivity</x:v>
      </x:c>
      <x:c r="H24" s="26" t="str">
        <x:v>Mature national design</x:v>
      </x:c>
      <x:c r="I24" s="26" t="str">
        <x:v>8% high sensitivity</x:v>
      </x:c>
      <x:c r="J24" s="1372" t="str">
        <x:v>Technical sensitivity</x:v>
      </x:c>
      <x:c r="K24" s="1392" t="str">
        <x:v>High sensitivity — below 100%</x:v>
      </x:c>
      <x:c r="L24" s="26" t="str">
        <x:v>Crown fiscal coverage recalculated using the 8% high analytical sensitivity.</x:v>
      </x:c>
      <x:c r="M24" s="26" t="str">
        <x:v>It is not the principal public Crown fiscal result.</x:v>
      </x:c>
      <x:c r="N24" s="26" t="str">
        <x:v>Human Capital &amp; Earnings</x:v>
      </x:c>
      <x:c r="O24" s="26" t="str">
        <x:v>(E118 + H118 + I118 + committed funding) ÷ C118</x:v>
      </x:c>
      <x:c r="P24" s="1297" t="n">
        <x:v>46215</x:v>
      </x:c>
    </x:row>
    <x:row r="25">
      <x:c r="A25" s="26" t="str">
        <x:v>ROI_FISCAL_4_TECH</x:v>
      </x:c>
      <x:c r="B25" s="26" t="str">
        <x:v>Net Crown fiscal ROI — 4% intermediate sensitivity</x:v>
      </x:c>
      <x:c r="C25" s="1412" t="n">
        <x:f>'Human Capital &amp; Earnings'!M99-1</x:f>
        <x:v>-0.8608698581022393</x:v>
      </x:c>
      <x:c r="D25" s="1410" t="str">
        <x:v>-86.1%</x:v>
      </x:c>
      <x:c r="E25" s="26" t="str">
        <x:v>%</x:v>
      </x:c>
      <x:c r="F25" s="26" t="str">
        <x:v>Lifetime PV versus aligned expenditure</x:v>
      </x:c>
      <x:c r="G25" s="26" t="str">
        <x:v>Crown fiscal technical sensitivity</x:v>
      </x:c>
      <x:c r="H25" s="26" t="str">
        <x:v>Mature national design</x:v>
      </x:c>
      <x:c r="I25" s="26" t="str">
        <x:v>4% intermediate sensitivity</x:v>
      </x:c>
      <x:c r="J25" s="1372" t="str">
        <x:v>Derived technical sensitivity</x:v>
      </x:c>
      <x:c r="K25" s="1392" t="str">
        <x:v>Intermediate sensitivity — negative</x:v>
      </x:c>
      <x:c r="L25" s="26" t="str">
        <x:v>The 4% intermediate fiscal coverage multiple minus one.</x:v>
      </x:c>
      <x:c r="M25" s="26" t="str">
        <x:v>It is not the principal public Crown fiscal ROI.</x:v>
      </x:c>
      <x:c r="N25" s="26" t="str">
        <x:v>Human Capital &amp; Earnings</x:v>
      </x:c>
      <x:c r="O25" s="26" t="str">
        <x:v>M99 − 1</x:v>
      </x:c>
      <x:c r="P25" s="1297" t="n">
        <x:v>46215</x:v>
      </x:c>
    </x:row>
    <x:row r="26">
      <x:c r="A26" s="26" t="str">
        <x:v>ROI_FISCAL_8_TECH</x:v>
      </x:c>
      <x:c r="B26" s="26" t="str">
        <x:v>Net Crown fiscal ROI — 8% high sensitivity</x:v>
      </x:c>
      <x:c r="C26" s="1412" t="n">
        <x:f>('Human Capital &amp; Earnings'!$E$118+'Human Capital &amp; Earnings'!$H$118+'Human Capital &amp; Earnings'!$I$118+'Delivery Scenarios'!$K$23)/'Human Capital &amp; Earnings'!$C$118-1</x:f>
        <x:v>-0.8742602900422144</x:v>
      </x:c>
      <x:c r="D26" s="1410" t="str">
        <x:v>-87.4%</x:v>
      </x:c>
      <x:c r="E26" s="26" t="str">
        <x:v>%</x:v>
      </x:c>
      <x:c r="F26" s="26" t="str">
        <x:v>Lifetime PV versus aligned expenditure</x:v>
      </x:c>
      <x:c r="G26" s="26" t="str">
        <x:v>Crown fiscal technical sensitivity</x:v>
      </x:c>
      <x:c r="H26" s="26" t="str">
        <x:v>Mature national design</x:v>
      </x:c>
      <x:c r="I26" s="26" t="str">
        <x:v>8% high sensitivity</x:v>
      </x:c>
      <x:c r="J26" s="1372" t="str">
        <x:v>Derived technical sensitivity</x:v>
      </x:c>
      <x:c r="K26" s="1392" t="str">
        <x:v>High sensitivity — negative</x:v>
      </x:c>
      <x:c r="L26" s="26" t="str">
        <x:v>The 8% high-sensitivity fiscal coverage multiple minus one.</x:v>
      </x:c>
      <x:c r="M26" s="26" t="str">
        <x:v>It is not the principal public Crown fiscal ROI.</x:v>
      </x:c>
      <x:c r="N26" s="26" t="str">
        <x:v>Human Capital &amp; Earnings</x:v>
      </x:c>
      <x:c r="O26" s="26" t="str">
        <x:v>8% Crown fiscal coverage − 1</x:v>
      </x:c>
      <x:c r="P26" s="1297" t="n">
        <x:v>46215</x:v>
      </x:c>
    </x:row>
    <x:row r="27">
      <x:c r="A27" s="26" t="str">
        <x:v>NET_FISCAL_COST_4_TECH</x:v>
      </x:c>
      <x:c r="B27" s="26" t="str">
        <x:v>Net Crown fiscal cost — 4% intermediate sensitivity</x:v>
      </x:c>
      <x:c r="C27" s="1409" t="n">
        <x:f>'Stage 2 - National'!K48*(1-'Human Capital &amp; Earnings'!M99)</x:f>
        <x:v>1313805970.280443</x:v>
      </x:c>
      <x:c r="D27" s="1410" t="str">
        <x:v>$1.314b</x:v>
      </x:c>
      <x:c r="E27" s="26" t="str">
        <x:v>NZD</x:v>
      </x:c>
      <x:c r="F27" s="26" t="str">
        <x:v>Aligned annual cohort</x:v>
      </x:c>
      <x:c r="G27" s="26" t="str">
        <x:v>Crown fiscal technical sensitivity</x:v>
      </x:c>
      <x:c r="H27" s="26" t="str">
        <x:v>Mature national design</x:v>
      </x:c>
      <x:c r="I27" s="26" t="str">
        <x:v>4% intermediate sensitivity</x:v>
      </x:c>
      <x:c r="J27" s="1372" t="str">
        <x:v>Technical sensitivity</x:v>
      </x:c>
      <x:c r="K27" s="1392" t="str">
        <x:v>Intermediate sensitivity — net fiscal loss</x:v>
      </x:c>
      <x:c r="L27" s="26" t="str">
        <x:v>Full mature annual expenditure less valid Crown fiscal offsets at the 4% intermediate sensitivity.</x:v>
      </x:c>
      <x:c r="M27" s="26" t="str">
        <x:v>It is not the principal public net Crown fiscal cost.</x:v>
      </x:c>
      <x:c r="N27" s="26" t="str">
        <x:v>Stage 2 - National / Human Capital &amp; Earnings</x:v>
      </x:c>
      <x:c r="O27" s="26" t="str">
        <x:v>K48 × (1 − M99)</x:v>
      </x:c>
      <x:c r="P27" s="1297" t="n">
        <x:v>46215</x:v>
      </x:c>
    </x:row>
    <x:row r="28">
      <x:c r="A28" s="26" t="str">
        <x:v>NET_FISCAL_COST_8_TECH</x:v>
      </x:c>
      <x:c r="B28" s="26" t="str">
        <x:v>Net Crown fiscal cost — 8% high sensitivity</x:v>
      </x:c>
      <x:c r="C28" s="1409" t="n">
        <x:f>'Human Capital &amp; Earnings'!$C$118-('Human Capital &amp; Earnings'!$E$118+'Human Capital &amp; Earnings'!$H$118+'Human Capital &amp; Earnings'!$I$118+'Delivery Scenarios'!$K$23)</x:f>
        <x:v>1334241613.6727614</x:v>
      </x:c>
      <x:c r="D28" s="1410" t="str">
        <x:v>$1.334b</x:v>
      </x:c>
      <x:c r="E28" s="26" t="str">
        <x:v>NZD</x:v>
      </x:c>
      <x:c r="F28" s="26" t="str">
        <x:v>Aligned annual cohort</x:v>
      </x:c>
      <x:c r="G28" s="26" t="str">
        <x:v>Crown fiscal technical sensitivity</x:v>
      </x:c>
      <x:c r="H28" s="26" t="str">
        <x:v>Mature national design</x:v>
      </x:c>
      <x:c r="I28" s="26" t="str">
        <x:v>8% high sensitivity</x:v>
      </x:c>
      <x:c r="J28" s="1372" t="str">
        <x:v>Technical sensitivity</x:v>
      </x:c>
      <x:c r="K28" s="1392" t="str">
        <x:v>High sensitivity — net fiscal loss</x:v>
      </x:c>
      <x:c r="L28" s="26" t="str">
        <x:v>Full mature annual expenditure less valid Crown fiscal offsets at the 8% high sensitivity.</x:v>
      </x:c>
      <x:c r="M28" s="26" t="str">
        <x:v>It is not the principal public net Crown fiscal cost.</x:v>
      </x:c>
      <x:c r="N28" s="26" t="str">
        <x:v>Human Capital &amp; Earnings</x:v>
      </x:c>
      <x:c r="O28" s="26" t="str">
        <x:v>C118 − (E118 + H118 + I118 + committed funding)</x:v>
      </x:c>
      <x:c r="P28" s="1297" t="n">
        <x:v>46215</x:v>
      </x:c>
    </x:row>
    <x:row r="29">
      <x:c r="A29" s="26" t="str">
        <x:v>BREAK_EVEN_CROWN_4_TECH</x:v>
      </x:c>
      <x:c r="B29" s="26" t="str">
        <x:v>Crown fiscal break-even earnings uplift — 4% intermediate sensitivity</x:v>
      </x:c>
      <x:c r="C29" s="1412" t="n">
        <x:f>'Human Capital &amp; Earnings'!K117</x:f>
        <x:v>0.3174347047868822</x:v>
      </x:c>
      <x:c r="D29" s="1410" t="str">
        <x:v>31.7%</x:v>
      </x:c>
      <x:c r="E29" s="26" t="str">
        <x:v>%</x:v>
      </x:c>
      <x:c r="F29" s="26" t="str">
        <x:v>Working-life sensitivity</x:v>
      </x:c>
      <x:c r="G29" s="26" t="str">
        <x:v>Crown fiscal technical sensitivity</x:v>
      </x:c>
      <x:c r="H29" s="26" t="str">
        <x:v>Mature national design</x:v>
      </x:c>
      <x:c r="I29" s="26" t="str">
        <x:v>4% intermediate sensitivity</x:v>
      </x:c>
      <x:c r="J29" s="1372" t="str">
        <x:v>Reverse-calculated technical sensitivity</x:v>
      </x:c>
      <x:c r="K29" s="1372" t="str">
        <x:v>Intermediate sensitivity — evidence hurdle</x:v>
      </x:c>
      <x:c r="L29" s="26" t="str">
        <x:v>Affected-population uplift required for fiscal coverage to reach 100% at 4%.</x:v>
      </x:c>
      <x:c r="M29" s="26" t="str">
        <x:v>It is not the principal public Crown break-even result.</x:v>
      </x:c>
      <x:c r="N29" s="26" t="str">
        <x:v>Human Capital &amp; Earnings</x:v>
      </x:c>
      <x:c r="O29" s="26" t="str">
        <x:v>K117</x:v>
      </x:c>
      <x:c r="P29" s="1297" t="n">
        <x:v>46215</x:v>
      </x:c>
    </x:row>
    <x:row r="30">
      <x:c r="A30" s="26" t="str">
        <x:v>BREAK_EVEN_CROWN_8_TECH</x:v>
      </x:c>
      <x:c r="B30" s="26" t="str">
        <x:v>Crown fiscal break-even earnings uplift — 8% high sensitivity</x:v>
      </x:c>
      <x:c r="C30" s="1412" t="n">
        <x:f>'Human Capital &amp; Earnings'!K118</x:f>
        <x:v>0.6052354480592517</x:v>
      </x:c>
      <x:c r="D30" s="1410" t="str">
        <x:v>60.5%</x:v>
      </x:c>
      <x:c r="E30" s="26" t="str">
        <x:v>%</x:v>
      </x:c>
      <x:c r="F30" s="26" t="str">
        <x:v>Working-life sensitivity</x:v>
      </x:c>
      <x:c r="G30" s="26" t="str">
        <x:v>Crown fiscal technical sensitivity</x:v>
      </x:c>
      <x:c r="H30" s="26" t="str">
        <x:v>Mature national design</x:v>
      </x:c>
      <x:c r="I30" s="26" t="str">
        <x:v>8% high sensitivity</x:v>
      </x:c>
      <x:c r="J30" s="1372" t="str">
        <x:v>Reverse-calculated technical sensitivity</x:v>
      </x:c>
      <x:c r="K30" s="1372" t="str">
        <x:v>High sensitivity — evidence hurdle</x:v>
      </x:c>
      <x:c r="L30" s="26" t="str">
        <x:v>Affected-population uplift required for fiscal coverage to reach 100% at 8%.</x:v>
      </x:c>
      <x:c r="M30" s="26" t="str">
        <x:v>It is not the principal public Crown break-even result.</x:v>
      </x:c>
      <x:c r="N30" s="26" t="str">
        <x:v>Human Capital &amp; Earnings</x:v>
      </x:c>
      <x:c r="O30" s="26" t="str">
        <x:v>K118</x:v>
      </x:c>
      <x:c r="P30" s="1297" t="n">
        <x:v>46215</x:v>
      </x:c>
    </x:row>
    <x:row r="31">
      <x:c r="A31" s="26" t="str">
        <x:v>LEARNING_CAPITAL_CONTRIBUTION</x:v>
      </x:c>
      <x:c r="B31" s="26" t="str">
        <x:v>Five-year Learning Capital contribution per participant</x:v>
      </x:c>
      <x:c r="C31" s="1409" t="n">
        <x:f>'Learning Capital &amp; ROI'!C23</x:f>
        <x:v>9750</x:v>
      </x:c>
      <x:c r="D31" s="1410" t="str">
        <x:v>$9,750</x:v>
      </x:c>
      <x:c r="E31" s="26" t="str">
        <x:v>NZD/person</x:v>
      </x:c>
      <x:c r="F31" s="26" t="str">
        <x:v>Five school years</x:v>
      </x:c>
      <x:c r="G31" s="26" t="str">
        <x:v>Participant</x:v>
      </x:c>
      <x:c r="H31" s="26" t="str">
        <x:v>Central</x:v>
      </x:c>
      <x:c r="I31" s="26" t="str">
        <x:v>Not applicable</x:v>
      </x:c>
      <x:c r="J31" s="1408" t="str">
        <x:v>Policy formula</x:v>
      </x:c>
      <x:c r="K31" s="1408" t="str">
        <x:v>Participant resource</x:v>
      </x:c>
      <x:c r="L31" s="26" t="str">
        <x:v>Protected contribution from half of verified participation payments over five years.</x:v>
      </x:c>
      <x:c r="M31" s="26" t="str">
        <x:v>It is not investment return or a Crown saving.</x:v>
      </x:c>
      <x:c r="N31" s="26" t="str">
        <x:v>Learning Capital &amp; ROI</x:v>
      </x:c>
      <x:c r="O31" s="26" t="str">
        <x:v>C23</x:v>
      </x:c>
      <x:c r="P31" s="1297" t="n">
        <x:v>46215</x:v>
      </x:c>
    </x:row>
    <x:row r="32">
      <x:c r="A32" s="26" t="str">
        <x:v>LEARNING_CAPITAL_BALANCE</x:v>
      </x:c>
      <x:c r="B32" s="26" t="str">
        <x:v>Projected closing nominal Learning Capital balance</x:v>
      </x:c>
      <x:c r="C32" s="1409" t="n">
        <x:f>'Learning Capital &amp; ROI'!C26</x:f>
        <x:v>10681.574885879425</x:v>
      </x:c>
      <x:c r="D32" s="1410" t="str">
        <x:v>$10,682</x:v>
      </x:c>
      <x:c r="E32" s="26" t="str">
        <x:v>NZD/person</x:v>
      </x:c>
      <x:c r="F32" s="26" t="str">
        <x:v>End of accumulation</x:v>
      </x:c>
      <x:c r="G32" s="26" t="str">
        <x:v>Participant</x:v>
      </x:c>
      <x:c r="H32" s="26" t="str">
        <x:v>Central</x:v>
      </x:c>
      <x:c r="I32" s="26" t="str">
        <x:v>Central investment scenario</x:v>
      </x:c>
      <x:c r="J32" s="1372" t="str">
        <x:v>Scenario — market returns uncertain</x:v>
      </x:c>
      <x:c r="K32" s="1372" t="str">
        <x:v>Provisional participant outcome</x:v>
      </x:c>
      <x:c r="L32" s="26" t="str">
        <x:v>Projected nominal protected account balance after contributions, fees, tax and lifecycle assumptions.</x:v>
      </x:c>
      <x:c r="M32" s="26" t="str">
        <x:v>It is not guaranteed and should not be added to debt avoided as a separate benefit.</x:v>
      </x:c>
      <x:c r="N32" s="26" t="str">
        <x:v>Learning Capital &amp; ROI</x:v>
      </x:c>
      <x:c r="O32" s="26" t="str">
        <x:v>C26</x:v>
      </x:c>
      <x:c r="P32" s="1297" t="n">
        <x:v>46215</x:v>
      </x:c>
    </x:row>
    <x:row r="33">
      <x:c r="A33" s="26" t="str">
        <x:v>LOAN_FAIR_VALUE_OFFSET</x:v>
      </x:c>
      <x:c r="B33" s="26" t="str">
        <x:v>Modelled student-loan fair-value offset using the official cost rate</x:v>
      </x:c>
      <x:c r="C33" s="1409" t="n">
        <x:f>'Cohort Bridge'!D28</x:f>
        <x:v>58449915.55259848</x:v>
      </x:c>
      <x:c r="D33" s="1410" t="str">
        <x:v>$58.4m</x:v>
      </x:c>
      <x:c r="E33" s="26" t="str">
        <x:v>NZD PV/cohort</x:v>
      </x:c>
      <x:c r="F33" s="26" t="str">
        <x:v>Cohort lifetime</x:v>
      </x:c>
      <x:c r="G33" s="26" t="str">
        <x:v>Crown fiscal</x:v>
      </x:c>
      <x:c r="H33" s="26" t="str">
        <x:v>Central</x:v>
      </x:c>
      <x:c r="I33" s="26" t="str">
        <x:v>Official fair-value method</x:v>
      </x:c>
      <x:c r="J33" s="1408" t="str">
        <x:v>Official rate applied to modelled displacement</x:v>
      </x:c>
      <x:c r="K33" s="1372" t="str">
        <x:v>Scenario estimate — official rate applied</x:v>
      </x:c>
      <x:c r="L33" s="26" t="str">
        <x:v>The official fair-value cost rate is applied to modelled student-loan borrowing displacement.</x:v>
      </x:c>
      <x:c r="M33" s="26" t="str">
        <x:v>The resulting dollar amount is a scenario estimate, not an official government forecast or the net Crown offset.</x:v>
      </x:c>
      <x:c r="N33" s="26" t="str">
        <x:v>Cohort Bridge</x:v>
      </x:c>
      <x:c r="O33" s="26" t="str">
        <x:v>D28</x:v>
      </x:c>
      <x:c r="P33" s="1297" t="n">
        <x:v>46215</x:v>
      </x:c>
    </x:row>
    <x:row r="34">
      <x:c r="A34" s="26" t="str">
        <x:v>LOAN_CONSEQUENTIAL_COSTS</x:v>
      </x:c>
      <x:c r="B34" s="26" t="str">
        <x:v>Consequential account administration and induced-study costs</x:v>
      </x:c>
      <x:c r="C34" s="1409" t="n">
        <x:f>'Cohort Bridge'!D29</x:f>
        <x:v>52622218.400000006</x:v>
      </x:c>
      <x:c r="D34" s="1410" t="str">
        <x:v>$52.6m</x:v>
      </x:c>
      <x:c r="E34" s="26" t="str">
        <x:v>NZD PV/cohort</x:v>
      </x:c>
      <x:c r="F34" s="26" t="str">
        <x:v>Cohort lifetime</x:v>
      </x:c>
      <x:c r="G34" s="26" t="str">
        <x:v>Crown fiscal</x:v>
      </x:c>
      <x:c r="H34" s="26" t="str">
        <x:v>Central</x:v>
      </x:c>
      <x:c r="I34" s="26" t="str">
        <x:v>Present value</x:v>
      </x:c>
      <x:c r="J34" s="1372" t="str">
        <x:v>Scenario cost bridge</x:v>
      </x:c>
      <x:c r="K34" s="1408" t="str">
        <x:v>Cost deducted from gross offset</x:v>
      </x:c>
      <x:c r="L34" s="26" t="str">
        <x:v>Consequential account administration and induced-study costs deducted from the modelled gross fair-value offset.</x:v>
      </x:c>
      <x:c r="M34" s="26" t="str">
        <x:v>It is not an additional benefit or a separate programme appropriation.</x:v>
      </x:c>
      <x:c r="N34" s="26" t="str">
        <x:v>Cohort Bridge</x:v>
      </x:c>
      <x:c r="O34" s="26" t="str">
        <x:v>D29</x:v>
      </x:c>
      <x:c r="P34" s="1297" t="n">
        <x:v>46215</x:v>
      </x:c>
    </x:row>
    <x:row r="35">
      <x:c r="A35" s="26" t="str">
        <x:v>LOAN_NET_OFFSET</x:v>
      </x:c>
      <x:c r="B35" s="26" t="str">
        <x:v>Net Learning Capital Crown offset after consequential costs</x:v>
      </x:c>
      <x:c r="C35" s="1409" t="n">
        <x:f>'Cohort Bridge'!D30</x:f>
        <x:v>5827697.152598478</x:v>
      </x:c>
      <x:c r="D35" s="1410" t="str">
        <x:v>$5.8m</x:v>
      </x:c>
      <x:c r="E35" s="26" t="str">
        <x:v>NZD PV/cohort</x:v>
      </x:c>
      <x:c r="F35" s="26" t="str">
        <x:v>Cohort lifetime</x:v>
      </x:c>
      <x:c r="G35" s="26" t="str">
        <x:v>Crown fiscal</x:v>
      </x:c>
      <x:c r="H35" s="26" t="str">
        <x:v>Central</x:v>
      </x:c>
      <x:c r="I35" s="26" t="str">
        <x:v>Present value</x:v>
      </x:c>
      <x:c r="J35" s="1372" t="str">
        <x:v>Scenario — borrowing counterfactual unproven</x:v>
      </x:c>
      <x:c r="K35" s="1408" t="str">
        <x:v>Conditional fiscal offset</x:v>
      </x:c>
      <x:c r="L35" s="26" t="str">
        <x:v>Modelled fair-value offset less consequential account administration and induced-study costs.</x:v>
      </x:c>
      <x:c r="M35" s="26" t="str">
        <x:v>It does not reduce the full participation-payment appropriation and is not the gross borrowing displaced.</x:v>
      </x:c>
      <x:c r="N35" s="26" t="str">
        <x:v>Cohort Bridge</x:v>
      </x:c>
      <x:c r="O35" s="26" t="str">
        <x:v>D30</x:v>
      </x:c>
      <x:c r="P35" s="1297" t="n">
        <x:v>46215</x:v>
      </x:c>
    </x:row>
    <x:row r="36">
      <x:c r="A36" s="26" t="str">
        <x:v>JUSTICE_SENS_1</x:v>
      </x:c>
      <x:c r="B36" s="26" t="str">
        <x:v>Illustrative one-percent justice resource sensitivity</x:v>
      </x:c>
      <x:c r="C36" s="1409" t="n">
        <x:f>'Justice Sensitivity'!G7</x:f>
        <x:v>2964909.73725</x:v>
      </x:c>
      <x:c r="D36" s="1410" t="str">
        <x:v>$3.0m</x:v>
      </x:c>
      <x:c r="E36" s="26" t="str">
        <x:v>NZD PV</x:v>
      </x:c>
      <x:c r="F36" s="26" t="str">
        <x:v>Illustrative cohort lifetime</x:v>
      </x:c>
      <x:c r="G36" s="26" t="str">
        <x:v>National social</x:v>
      </x:c>
      <x:c r="H36" s="26" t="str">
        <x:v>One-percent sensitivity</x:v>
      </x:c>
      <x:c r="I36" s="26" t="str">
        <x:v>Sensitivity only</x:v>
      </x:c>
      <x:c r="J36" s="1372" t="str">
        <x:v>Illustrative — excluded from headline</x:v>
      </x:c>
      <x:c r="K36" s="1372" t="str">
        <x:v>Illustrative</x:v>
      </x:c>
      <x:c r="L36" s="26" t="str">
        <x:v>Illustrative prison resource value under a one-percent applicable-case sensitivity.</x:v>
      </x:c>
      <x:c r="M36" s="26" t="str">
        <x:v>It is not a forecast, offence estimate or cashable Corrections saving.</x:v>
      </x:c>
      <x:c r="N36" s="26" t="str">
        <x:v>Justice Sensitivity</x:v>
      </x:c>
      <x:c r="O36" s="26" t="str">
        <x:v>G7</x:v>
      </x:c>
      <x:c r="P36" s="1297" t="n">
        <x:v>46215</x:v>
      </x:c>
    </x:row>
    <x:row r="37">
      <x:c r="A37" s="26" t="str">
        <x:v>CORE_TARGET_BREAK_EVEN</x:v>
      </x:c>
      <x:c r="B37" s="26" t="str">
        <x:v>Core plus targeted affected-population social break-even uplift</x:v>
      </x:c>
      <x:c r="C37" s="1412" t="n">
        <x:f>'Human Capital &amp; Earnings'!J110</x:f>
        <x:v>0.022715858868379204</x:v>
      </x:c>
      <x:c r="D37" s="1410" t="str">
        <x:v>2.3%</x:v>
      </x:c>
      <x:c r="E37" s="26" t="str">
        <x:v>%</x:v>
      </x:c>
      <x:c r="F37" s="26" t="str">
        <x:v>Working-life sensitivity</x:v>
      </x:c>
      <x:c r="G37" s="26" t="str">
        <x:v>National social</x:v>
      </x:c>
      <x:c r="H37" s="26" t="str">
        <x:v>Universal core plus targeted accelerator</x:v>
      </x:c>
      <x:c r="I37" s="26" t="str">
        <x:v>2%</x:v>
      </x:c>
      <x:c r="J37" s="1372" t="str">
        <x:v>Scenario — retained high-risk effect unproven</x:v>
      </x:c>
      <x:c r="K37" s="1372" t="str">
        <x:v>Evidence hurdle</x:v>
      </x:c>
      <x:c r="L37" s="26" t="str">
        <x:v>Affected-population uplift required for the lower-cost structural scenario to reach full-expenditure social break-even.</x:v>
      </x:c>
      <x:c r="M37" s="26" t="str">
        <x:v>It is not a demonstrated programme effect.</x:v>
      </x:c>
      <x:c r="N37" s="26" t="str">
        <x:v>Human Capital &amp; Earnings</x:v>
      </x:c>
      <x:c r="O37" s="26" t="str">
        <x:v>J110</x:v>
      </x:c>
      <x:c r="P37" s="1297" t="n">
        <x:v>46215</x:v>
      </x:c>
    </x:row>
    <x:row r="38">
      <x:c r="A38" s="26" t="str">
        <x:v>CORE_TARGET_EQUIV_BREAK_EVEN</x:v>
      </x:c>
      <x:c r="B38" s="26" t="str">
        <x:v>Core plus targeted full-cohort-equivalent social break-even uplift</x:v>
      </x:c>
      <x:c r="C38" s="1412" t="n">
        <x:f>'Earnings Uplift Bridge'!H35</x:f>
        <x:v>0.004047235729803591</x:v>
      </x:c>
      <x:c r="D38" s="1410" t="str">
        <x:v>0.405%</x:v>
      </x:c>
      <x:c r="E38" s="26" t="str">
        <x:v>%</x:v>
      </x:c>
      <x:c r="F38" s="26" t="str">
        <x:v>Annual cohort equivalent</x:v>
      </x:c>
      <x:c r="G38" s="26" t="str">
        <x:v>Public explanation</x:v>
      </x:c>
      <x:c r="H38" s="26" t="str">
        <x:v>Universal core plus targeted accelerator</x:v>
      </x:c>
      <x:c r="I38" s="26" t="str">
        <x:v>2%</x:v>
      </x:c>
      <x:c r="J38" s="1372" t="str">
        <x:v>Calculated scenario equivalent</x:v>
      </x:c>
      <x:c r="K38" s="1372" t="str">
        <x:v>Evidence hurdle</x:v>
      </x:c>
      <x:c r="L38" s="26" t="str">
        <x:v>The core-plus-targeted break-even value expressed as an equivalent average across its full exposed cohort.</x:v>
      </x:c>
      <x:c r="M38" s="26" t="str">
        <x:v>It is not a measured uniform effect and does not use the mature-design conversion factor.</x:v>
      </x:c>
      <x:c r="N38" s="26" t="str">
        <x:v>Earnings Uplift Bridge</x:v>
      </x:c>
      <x:c r="O38" s="26" t="str">
        <x:v>H35</x:v>
      </x:c>
      <x:c r="P38" s="1297" t="n">
        <x:v>46215</x:v>
      </x:c>
    </x:row>
    <x:row r="39">
      <x:c r="A39" s="26" t="str">
        <x:v>CORE_TARGET_BCR_1</x:v>
      </x:c>
      <x:c r="B39" s="26" t="str">
        <x:v>Core plus targeted full-expenditure BCR at a 1% earnings uplift</x:v>
      </x:c>
      <x:c r="C39" s="1428" t="n">
        <x:f>('Human Capital &amp; Earnings'!D110+'Human Capital &amp; Earnings'!G110*1)/'Human Capital &amp; Earnings'!C110</x:f>
        <x:v>0.6866288601990855</x:v>
      </x:c>
      <x:c r="D39" s="1410" t="str">
        <x:v>0.687x</x:v>
      </x:c>
      <x:c r="E39" s="26" t="str">
        <x:v>x</x:v>
      </x:c>
      <x:c r="F39" s="26" t="str">
        <x:v>Lifetime PV versus annual scenario cost</x:v>
      </x:c>
      <x:c r="G39" s="26" t="str">
        <x:v>National social</x:v>
      </x:c>
      <x:c r="H39" s="26" t="str">
        <x:v>Universal core plus targeted accelerator</x:v>
      </x:c>
      <x:c r="I39" s="26" t="str">
        <x:v>2%</x:v>
      </x:c>
      <x:c r="J39" s="1372" t="str">
        <x:v>Scenario — retained high-risk effect unproven</x:v>
      </x:c>
      <x:c r="K39" s="1372" t="str">
        <x:v>Assumption-dependent</x:v>
      </x:c>
      <x:c r="L39" s="26" t="str">
        <x:v>Full-expenditure social BCR for the lower-cost structure at a one-percent affected-population uplift.</x:v>
      </x:c>
      <x:c r="M39" s="26" t="str">
        <x:v>It is not a proven result or Crown fiscal recovery.</x:v>
      </x:c>
      <x:c r="N39" s="26" t="str">
        <x:v>Human Capital &amp; Earnings</x:v>
      </x:c>
      <x:c r="O39" s="26" t="str">
        <x:v>(D110 + G110 × 1) ÷ C110</x:v>
      </x:c>
      <x:c r="P39" s="1297" t="n">
        <x:v>46215</x:v>
      </x:c>
    </x:row>
    <x:row r="40">
      <x:c r="A40" s="26" t="str">
        <x:v>CORE_TARGET_BCR_3</x:v>
      </x:c>
      <x:c r="B40" s="26" t="str">
        <x:v>Core plus targeted full-expenditure BCR at a 3% earnings uplift</x:v>
      </x:c>
      <x:c r="C40" s="1429" t="n">
        <x:f>('Human Capital &amp; Earnings'!D110+'Human Capital &amp; Earnings'!G110*3)/'Human Capital &amp; Earnings'!C110</x:f>
        <x:v>1.1795112412393174</x:v>
      </x:c>
      <x:c r="D40" s="1430" t="str">
        <x:v>1.180x</x:v>
      </x:c>
      <x:c r="E40" s="26" t="str">
        <x:v>x</x:v>
      </x:c>
      <x:c r="F40" s="26" t="str">
        <x:v>Lifetime PV versus annual scenario cost</x:v>
      </x:c>
      <x:c r="G40" s="26" t="str">
        <x:v>National social</x:v>
      </x:c>
      <x:c r="H40" s="26" t="str">
        <x:v>Universal core plus targeted accelerator</x:v>
      </x:c>
      <x:c r="I40" s="26" t="str">
        <x:v>2%</x:v>
      </x:c>
      <x:c r="J40" s="1372" t="str">
        <x:v>Scenario — retained high-risk effect unproven</x:v>
      </x:c>
      <x:c r="K40" s="1372" t="str">
        <x:v>Assumption-dependent</x:v>
      </x:c>
      <x:c r="L40" s="26" t="str">
        <x:v>Full-expenditure social BCR for the lower-cost structure at a three-percent affected-population uplift.</x:v>
      </x:c>
      <x:c r="M40" s="26" t="str">
        <x:v>It is not a forecast or a demonstrated programme outcome.</x:v>
      </x:c>
      <x:c r="N40" s="26" t="str">
        <x:v>Human Capital &amp; Earnings</x:v>
      </x:c>
      <x:c r="O40" s="26" t="str">
        <x:v>(D110 + G110 × 3) ÷ C110</x:v>
      </x:c>
      <x:c r="P40" s="1297" t="n">
        <x:v>46215</x:v>
      </x:c>
    </x:row>
    <x:row r="41">
      <x:c r="A41" s="26" t="str">
        <x:v>CORE_TARGET_BCR_5</x:v>
      </x:c>
      <x:c r="B41" s="26" t="str">
        <x:v>Core plus targeted full-expenditure BCR at a 5% earnings uplift</x:v>
      </x:c>
      <x:c r="C41" s="1429" t="n">
        <x:f>'Human Capital &amp; Earnings'!O110</x:f>
        <x:v>1.6723936222795492</x:v>
      </x:c>
      <x:c r="D41" s="1430" t="str">
        <x:v>1.672x</x:v>
      </x:c>
      <x:c r="E41" s="26" t="str">
        <x:v>x</x:v>
      </x:c>
      <x:c r="F41" s="26" t="str">
        <x:v>Lifetime PV versus annual scenario cost</x:v>
      </x:c>
      <x:c r="G41" s="26" t="str">
        <x:v>National social</x:v>
      </x:c>
      <x:c r="H41" s="26" t="str">
        <x:v>Universal core plus targeted accelerator</x:v>
      </x:c>
      <x:c r="I41" s="26" t="str">
        <x:v>2%</x:v>
      </x:c>
      <x:c r="J41" s="1372" t="str">
        <x:v>Scenario — retained high-risk effect unproven</x:v>
      </x:c>
      <x:c r="K41" s="1372" t="str">
        <x:v>Assumption-dependent</x:v>
      </x:c>
      <x:c r="L41" s="26" t="str">
        <x:v>Full-expenditure social BCR for the lower-cost structure at a five-percent affected-population uplift.</x:v>
      </x:c>
      <x:c r="M41" s="26" t="str">
        <x:v>It is not evidence that the uplift or retained high-risk effect will occur.</x:v>
      </x:c>
      <x:c r="N41" s="26" t="str">
        <x:v>Human Capital &amp; Earnings</x:v>
      </x:c>
      <x:c r="O41" s="26" t="str">
        <x:v>O110</x:v>
      </x:c>
      <x:c r="P41" s="1297" t="n">
        <x:v>46215</x:v>
      </x:c>
    </x:row>
    <x:row r="42">
      <x:c r="A42" s="26" t="str">
        <x:v>CORE_TARGET_RETAINED_EFFECT</x:v>
      </x:c>
      <x:c r="B42" s="26" t="str">
        <x:v>Core plus targeted retained high-risk effect assumption</x:v>
      </x:c>
      <x:c r="C42" s="1412" t="n">
        <x:f>'Delivery Scenarios'!I21</x:f>
        <x:v>1</x:v>
      </x:c>
      <x:c r="D42" s="1410" t="str">
        <x:v>100.0%</x:v>
      </x:c>
      <x:c r="E42" s="26" t="str">
        <x:v>%</x:v>
      </x:c>
      <x:c r="F42" s="26" t="str">
        <x:v>Scenario assumption</x:v>
      </x:c>
      <x:c r="G42" s="26" t="str">
        <x:v>Model assumption</x:v>
      </x:c>
      <x:c r="H42" s="26" t="str">
        <x:v>Universal core plus targeted accelerator</x:v>
      </x:c>
      <x:c r="I42" s="26" t="str">
        <x:v>Not applicable</x:v>
      </x:c>
      <x:c r="J42" s="1372" t="str">
        <x:v>Unproven — tested at 25%, 50%, 75% and 100%</x:v>
      </x:c>
      <x:c r="K42" s="1372" t="str">
        <x:v>Material assumption</x:v>
      </x:c>
      <x:c r="L42" s="26" t="str">
        <x:v>Share of the mature design's high-risk effect retained in the lower-cost structural scenario.</x:v>
      </x:c>
      <x:c r="M42" s="26" t="str">
        <x:v>It is not a demonstrated retained effect.</x:v>
      </x:c>
      <x:c r="N42" s="26" t="str">
        <x:v>Delivery Scenarios</x:v>
      </x:c>
      <x:c r="O42" s="26" t="str">
        <x:v>I21</x:v>
      </x:c>
      <x:c r="P42" s="1297" t="n">
        <x:v>46215</x:v>
      </x:c>
    </x:row>
    <x:row r="43">
      <x:c r="C43" s="1398"/>
      <x:c r="D43" s="1398"/>
    </x:row>
    <x:row r="44">
      <x:c r="C44" s="1398"/>
      <x:c r="D44" s="1398"/>
    </x:row>
    <x:row r="45">
      <x:c r="C45" s="1398"/>
      <x:c r="D45" s="1398"/>
    </x:row>
    <x:row r="46">
      <x:c r="C46" s="1398"/>
      <x:c r="D46" s="1398"/>
    </x:row>
    <x:row r="47">
      <x:c r="C47" s="1398"/>
      <x:c r="D47" s="1398"/>
    </x:row>
    <x:row r="48">
      <x:c r="C48" s="1398"/>
      <x:c r="D48" s="1398"/>
    </x:row>
    <x:row r="49">
      <x:c r="C49" s="1398"/>
      <x:c r="D49" s="1398"/>
    </x:row>
    <x:row r="50">
      <x:c r="C50" s="1398"/>
      <x:c r="D50" s="1398"/>
    </x:row>
    <x:row r="51">
      <x:c r="C51" s="1398"/>
      <x:c r="D51" s="1398"/>
    </x:row>
    <x:row r="52">
      <x:c r="C52" s="1398"/>
      <x:c r="D52" s="1398"/>
    </x:row>
    <x:row r="53">
      <x:c r="C53" s="1398"/>
      <x:c r="D53" s="1398"/>
    </x:row>
    <x:row r="54">
      <x:c r="C54" s="1398"/>
      <x:c r="D54" s="1398"/>
    </x:row>
    <x:row r="55">
      <x:c r="C55" s="1398"/>
      <x:c r="D55" s="1398"/>
    </x:row>
    <x:row r="56">
      <x:c r="C56" s="1398"/>
      <x:c r="D56" s="1398"/>
    </x:row>
    <x:row r="57">
      <x:c r="C57" s="1398"/>
      <x:c r="D57" s="1398"/>
    </x:row>
    <x:row r="58">
      <x:c r="C58" s="1398"/>
      <x:c r="D58" s="1398"/>
    </x:row>
    <x:row r="59">
      <x:c r="C59" s="1398"/>
      <x:c r="D59" s="1398"/>
    </x:row>
    <x:row r="60">
      <x:c r="C60" s="1398"/>
      <x:c r="D60" s="1398"/>
    </x:row>
    <x:row r="61">
      <x:c r="C61" s="1398"/>
      <x:c r="D61" s="1398"/>
    </x:row>
    <x:row r="62">
      <x:c r="C62" s="1398"/>
      <x:c r="D62" s="1398"/>
    </x:row>
    <x:row r="63">
      <x:c r="C63" s="1398"/>
      <x:c r="D63" s="1398"/>
    </x:row>
    <x:row r="64">
      <x:c r="C64" s="1398"/>
      <x:c r="D64" s="1398"/>
    </x:row>
    <x:row r="65">
      <x:c r="C65" s="1398"/>
      <x:c r="D65" s="1398"/>
    </x:row>
    <x:row r="66">
      <x:c r="C66" s="1398"/>
      <x:c r="D66" s="1398"/>
    </x:row>
    <x:row r="67">
      <x:c r="C67" s="1398"/>
      <x:c r="D67" s="1398"/>
    </x:row>
    <x:row r="68">
      <x:c r="C68" s="1398"/>
      <x:c r="D68" s="1398"/>
    </x:row>
    <x:row r="69">
      <x:c r="C69" s="1398"/>
      <x:c r="D69" s="1398"/>
    </x:row>
    <x:row r="70">
      <x:c r="C70" s="1398"/>
      <x:c r="D70" s="1398"/>
    </x:row>
    <x:row r="71">
      <x:c r="C71" s="1398"/>
      <x:c r="D71" s="1398"/>
    </x:row>
    <x:row r="72">
      <x:c r="C72" s="1398"/>
      <x:c r="D72" s="1398"/>
    </x:row>
    <x:row r="73">
      <x:c r="C73" s="1398"/>
      <x:c r="D73" s="1398"/>
    </x:row>
    <x:row r="74">
      <x:c r="C74" s="1398"/>
      <x:c r="D74" s="1398"/>
    </x:row>
    <x:row r="75">
      <x:c r="C75" s="1398"/>
      <x:c r="D75" s="1398"/>
    </x:row>
    <x:row r="76">
      <x:c r="C76" s="1398"/>
      <x:c r="D76" s="1398"/>
    </x:row>
    <x:row r="77">
      <x:c r="C77" s="1398"/>
      <x:c r="D77" s="1398"/>
    </x:row>
    <x:row r="78">
      <x:c r="C78" s="1398"/>
      <x:c r="D78" s="1398"/>
    </x:row>
    <x:row r="79">
      <x:c r="C79" s="1398"/>
      <x:c r="D79" s="1398"/>
    </x:row>
    <x:row r="80">
      <x:c r="C80" s="1398"/>
      <x:c r="D80" s="1398"/>
    </x:row>
  </x:sheetData>
  <x:mergeCells>
    <x:mergeCell ref="A1:P1"/>
    <x:mergeCell ref="A2:P2"/>
  </x:mergeCells>
  <x:pageMargins left="0.7" right="0.7" top="0.75" bottom="0.75" header="0.3" footer="0.3"/>
</x:worksheet>
</file>